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480" windowHeight="8190" activeTab="0"/>
  </bookViews>
  <sheets>
    <sheet name="Arkusz2" sheetId="1" r:id="rId1"/>
    <sheet name="Arkusz3" sheetId="2" r:id="rId2"/>
  </sheets>
  <definedNames>
    <definedName name="_xlnm.Print_Area" localSheetId="0">'Arkusz2'!$A$2:$J$23</definedName>
  </definedNames>
  <calcPr fullCalcOnLoad="1"/>
</workbook>
</file>

<file path=xl/sharedStrings.xml><?xml version="1.0" encoding="utf-8"?>
<sst xmlns="http://schemas.openxmlformats.org/spreadsheetml/2006/main" count="199" uniqueCount="120">
  <si>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</si>
  <si>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</si>
  <si>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</si>
  <si>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</si>
  <si>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</si>
  <si>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</si>
  <si>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</si>
  <si>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</si>
  <si>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</si>
  <si>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</si>
  <si>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</si>
  <si>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</t>
  </si>
  <si>
    <t>roboty przygotowawcze</t>
  </si>
  <si>
    <t>ilość</t>
  </si>
  <si>
    <t>m2</t>
  </si>
  <si>
    <t>roboty ziemne</t>
  </si>
  <si>
    <t>m3</t>
  </si>
  <si>
    <t>odwodnienie korpusu drogowego</t>
  </si>
  <si>
    <t>mb</t>
  </si>
  <si>
    <t>podbudowy</t>
  </si>
  <si>
    <t xml:space="preserve">nawierzchnie płyty kamienne, kostka granitowa </t>
  </si>
  <si>
    <t>nawierzchnia z kostki betonowej</t>
  </si>
  <si>
    <t>elementy ulic- krawężniki</t>
  </si>
  <si>
    <t>elementy ulic - chodniki</t>
  </si>
  <si>
    <t>stała organizacja ruchu - oznakowanie pionowe</t>
  </si>
  <si>
    <t>szt</t>
  </si>
  <si>
    <t>stała organizacja ruchu - oznakowanie poziome</t>
  </si>
  <si>
    <t>ROBOTY DROGOWE</t>
  </si>
  <si>
    <t>KANALIZACJA DESZCZOWA</t>
  </si>
  <si>
    <t>roboty rozbiórkowe; wykopy</t>
  </si>
  <si>
    <t>roboty instalacyjne; roboty ziemne</t>
  </si>
  <si>
    <t>m</t>
  </si>
  <si>
    <t>BRANŻA ENERGTYCZNA</t>
  </si>
  <si>
    <t>zasilenie prace montażowe</t>
  </si>
  <si>
    <t>przebudowa, prace demontażowe</t>
  </si>
  <si>
    <t>przebudowa prace montażowe</t>
  </si>
  <si>
    <t>roboty energetyczne oświetlenie</t>
  </si>
  <si>
    <t>Razem roboty drogowe</t>
  </si>
  <si>
    <t>Razem energetyczne</t>
  </si>
  <si>
    <t>MAŁA ARCHITEKTURA, ZAGOSPODAROWANIE TERENU, ZIELEŃ</t>
  </si>
  <si>
    <t>toaleta automatyczna</t>
  </si>
  <si>
    <t>kpl</t>
  </si>
  <si>
    <t>fontanna- konstrukcja komory technologicznej; konstrukcja mała ; konstrukcja duża</t>
  </si>
  <si>
    <t>fontanna - instalacja i wyposażenie</t>
  </si>
  <si>
    <t>Razem toaleta</t>
  </si>
  <si>
    <t>Razem fontanna</t>
  </si>
  <si>
    <t>INSTALACJA WODOCIĄGOWA I KANALIZACJA SANITARNA - PRZYŁĄCZENIE OBIEKTÓW</t>
  </si>
  <si>
    <t>roboty ziemne; roboty montażowe</t>
  </si>
  <si>
    <t>Razem instalacje wod-kan</t>
  </si>
  <si>
    <t>LIKWIDACJA STAREGO SZAMBA</t>
  </si>
  <si>
    <t>roboty rozbiorkowe</t>
  </si>
  <si>
    <t>MAŁA ARCHITEKTURA PRACE ROZBIÓRKOWE</t>
  </si>
  <si>
    <t>Razem likwidacja szamba</t>
  </si>
  <si>
    <t>rozbiórka urzadzeń zabawkowych</t>
  </si>
  <si>
    <t>rozbiórka urzadzeń sportowych</t>
  </si>
  <si>
    <t>rozbiórka małej architektury</t>
  </si>
  <si>
    <t>Razem prace rozbiórkowe</t>
  </si>
  <si>
    <t>MAŁA ARCHITEKTURA ELEMENTY WYPOSAŻENIA PLACU</t>
  </si>
  <si>
    <t>mała architektura</t>
  </si>
  <si>
    <t>Razem elementy wyposażenia</t>
  </si>
  <si>
    <t>KARCZOWANIE PNI I DRZEW</t>
  </si>
  <si>
    <t>mechaniczne karczowanie bez wycinki drzew</t>
  </si>
  <si>
    <t xml:space="preserve">zbezpieczenie drzew </t>
  </si>
  <si>
    <t>Razem karczowanie pni i drzew</t>
  </si>
  <si>
    <t>ZIELEŃ NASADZENIA</t>
  </si>
  <si>
    <t>prace przygotowawcze</t>
  </si>
  <si>
    <t>sadzenie drzew</t>
  </si>
  <si>
    <t>sadzenie krzewów</t>
  </si>
  <si>
    <t>sadzenie pnączy</t>
  </si>
  <si>
    <t>sadzenie bylin okrywowych</t>
  </si>
  <si>
    <t>sadzenie róż rabatowych</t>
  </si>
  <si>
    <t>sadzenie róż pnących</t>
  </si>
  <si>
    <t>zakładanie trawnika z siewu</t>
  </si>
  <si>
    <t>posadzenie krzewów</t>
  </si>
  <si>
    <t>prace wykończeniowe</t>
  </si>
  <si>
    <t>pielęgnacja powykonawcza zieleni</t>
  </si>
  <si>
    <t>Razem zieleń nasadzenia</t>
  </si>
  <si>
    <t>VAT</t>
  </si>
  <si>
    <t>Lp.</t>
  </si>
  <si>
    <t>Opis podstawowych elementów robót</t>
  </si>
  <si>
    <t>jedn.</t>
  </si>
  <si>
    <t>wartość netto</t>
  </si>
  <si>
    <t>lipiec</t>
  </si>
  <si>
    <t>sierpień</t>
  </si>
  <si>
    <t>wrzesień</t>
  </si>
  <si>
    <t>październik</t>
  </si>
  <si>
    <t>listopad</t>
  </si>
  <si>
    <t>grudzień</t>
  </si>
  <si>
    <t>III kwartał</t>
  </si>
  <si>
    <t>Rok 2012</t>
  </si>
  <si>
    <t>IV kwartał</t>
  </si>
  <si>
    <t>styczeń</t>
  </si>
  <si>
    <t>luty</t>
  </si>
  <si>
    <t>marzec</t>
  </si>
  <si>
    <t>kwiecień</t>
  </si>
  <si>
    <t>maj</t>
  </si>
  <si>
    <t>I kwartał</t>
  </si>
  <si>
    <t>II kwartał</t>
  </si>
  <si>
    <t>Rok 2013</t>
  </si>
  <si>
    <t>Razem kanalizacja deszczowa</t>
  </si>
  <si>
    <t>Ogółem wartość robót netto</t>
  </si>
  <si>
    <t>Ogółem wartość robót brutto</t>
  </si>
  <si>
    <t>czerwiec 2013</t>
  </si>
  <si>
    <t>czerwiec 2014</t>
  </si>
  <si>
    <t>Harmonogram finansowo-rzeczowy na dzień 25-06-2012 Rewaloryzacja Rynku I w Łęcznej</t>
  </si>
  <si>
    <t>W tym roboty realizowane przez podwykonawcę (dalszego podwykonawcę)…………………………………………………….</t>
  </si>
  <si>
    <t>Wartość VAT</t>
  </si>
  <si>
    <t>Stawka VAT %</t>
  </si>
  <si>
    <t>Wartość z kosztorysu ofertowego netto</t>
  </si>
  <si>
    <t>Wartość umowna brutto</t>
  </si>
  <si>
    <t>RAZEM UMOWA:</t>
  </si>
  <si>
    <t>---</t>
  </si>
  <si>
    <t>ROZBUDOWA - PRZEBUDOWA</t>
  </si>
  <si>
    <t>INSTALACJA WOD-KAN ZAPLECZA BASENU</t>
  </si>
  <si>
    <t>INSTALACJA WENTYLACJI ZAPLECZA BASENU</t>
  </si>
  <si>
    <t>III kwartał 2018r.</t>
  </si>
  <si>
    <t>IV kwartał 2018 r</t>
  </si>
  <si>
    <t>I kwartał 2019 r.</t>
  </si>
  <si>
    <t xml:space="preserve">Termomodernizacja Szkoły Podstawowej Nr 2 - Rozbudowa części sportowej
</t>
  </si>
  <si>
    <t>HARMONOGRAM RZECZOWO - FINANSOWY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</si>
</sst>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"/>
    <numFmt numFmtId="166" formatCode="#,##0.0\ &quot;zł&quot;"/>
    <numFmt numFmtId="167" formatCode="#,##0\ &quot;zł&quot;"/>
    <numFmt numFmtId="168" formatCode="#,##0.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8"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8"/>
      <name val="Arial CE"/>
      <family val="0"/>
    </font>
    <font>
      <sz val="14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2"/>
    </font>
    <font>
      <sz val="16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68">
    <xf numFmtId="0" fontId="0" fillId="0" borderId="0" xfId="0" applyAlignment="1">
      <alignment/>
    </xf>
    <xf numFmtId="165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2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5" fontId="22" fillId="0" borderId="0" xfId="58" applyNumberFormat="1" applyFont="1" applyFill="1" applyBorder="1" applyAlignment="1" applyProtection="1">
      <alignment horizontal="center" wrapText="1"/>
      <protection/>
    </xf>
    <xf numFmtId="165" fontId="23" fillId="0" borderId="0" xfId="0" applyNumberFormat="1" applyFont="1" applyAlignment="1">
      <alignment/>
    </xf>
    <xf numFmtId="165" fontId="22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0" xfId="0" applyFont="1" applyAlignment="1">
      <alignment/>
    </xf>
    <xf numFmtId="165" fontId="2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/>
    </xf>
    <xf numFmtId="17" fontId="18" fillId="0" borderId="15" xfId="0" applyNumberFormat="1" applyFont="1" applyFill="1" applyBorder="1" applyAlignment="1" quotePrefix="1">
      <alignment horizontal="center" wrapText="1"/>
    </xf>
    <xf numFmtId="17" fontId="18" fillId="0" borderId="18" xfId="0" applyNumberFormat="1" applyFont="1" applyFill="1" applyBorder="1" applyAlignment="1" quotePrefix="1">
      <alignment horizontal="center" wrapText="1"/>
    </xf>
    <xf numFmtId="165" fontId="2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168" fontId="26" fillId="0" borderId="12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left" vertical="center" wrapText="1"/>
    </xf>
    <xf numFmtId="2" fontId="26" fillId="0" borderId="20" xfId="0" applyNumberFormat="1" applyFont="1" applyBorder="1" applyAlignment="1">
      <alignment horizontal="center" vertical="center"/>
    </xf>
    <xf numFmtId="165" fontId="26" fillId="0" borderId="20" xfId="0" applyNumberFormat="1" applyFont="1" applyBorder="1" applyAlignment="1">
      <alignment horizontal="center"/>
    </xf>
    <xf numFmtId="165" fontId="27" fillId="0" borderId="21" xfId="0" applyNumberFormat="1" applyFont="1" applyBorder="1" applyAlignment="1">
      <alignment horizontal="right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2" fontId="26" fillId="0" borderId="16" xfId="0" applyNumberFormat="1" applyFont="1" applyBorder="1" applyAlignment="1">
      <alignment horizontal="right"/>
    </xf>
    <xf numFmtId="2" fontId="26" fillId="0" borderId="27" xfId="0" applyNumberFormat="1" applyFont="1" applyBorder="1" applyAlignment="1">
      <alignment horizontal="right"/>
    </xf>
    <xf numFmtId="0" fontId="27" fillId="0" borderId="24" xfId="0" applyFont="1" applyBorder="1" applyAlignment="1">
      <alignment horizontal="right" vertical="center" wrapText="1"/>
    </xf>
    <xf numFmtId="0" fontId="26" fillId="24" borderId="2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/>
    </xf>
    <xf numFmtId="9" fontId="26" fillId="0" borderId="12" xfId="52" applyFont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9" fontId="26" fillId="25" borderId="12" xfId="52" applyFont="1" applyFill="1" applyBorder="1" applyAlignment="1">
      <alignment horizontal="center" vertical="center"/>
    </xf>
    <xf numFmtId="2" fontId="26" fillId="25" borderId="16" xfId="0" applyNumberFormat="1" applyFont="1" applyFill="1" applyBorder="1" applyAlignment="1">
      <alignment horizontal="right"/>
    </xf>
    <xf numFmtId="168" fontId="26" fillId="25" borderId="12" xfId="0" applyNumberFormat="1" applyFont="1" applyFill="1" applyBorder="1" applyAlignment="1">
      <alignment horizontal="center"/>
    </xf>
    <xf numFmtId="0" fontId="26" fillId="25" borderId="19" xfId="0" applyNumberFormat="1" applyFont="1" applyFill="1" applyBorder="1" applyAlignment="1">
      <alignment horizontal="center" vertical="center"/>
    </xf>
    <xf numFmtId="2" fontId="26" fillId="25" borderId="20" xfId="0" applyNumberFormat="1" applyFont="1" applyFill="1" applyBorder="1" applyAlignment="1">
      <alignment horizontal="left" vertical="center" wrapText="1"/>
    </xf>
    <xf numFmtId="2" fontId="26" fillId="25" borderId="20" xfId="0" applyNumberFormat="1" applyFont="1" applyFill="1" applyBorder="1" applyAlignment="1">
      <alignment horizontal="center" vertical="center"/>
    </xf>
    <xf numFmtId="2" fontId="26" fillId="25" borderId="27" xfId="0" applyNumberFormat="1" applyFont="1" applyFill="1" applyBorder="1" applyAlignment="1">
      <alignment horizontal="right"/>
    </xf>
    <xf numFmtId="165" fontId="26" fillId="25" borderId="20" xfId="0" applyNumberFormat="1" applyFont="1" applyFill="1" applyBorder="1" applyAlignment="1">
      <alignment horizontal="center"/>
    </xf>
    <xf numFmtId="165" fontId="27" fillId="25" borderId="2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7" fillId="0" borderId="28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165" fontId="26" fillId="0" borderId="29" xfId="0" applyNumberFormat="1" applyFont="1" applyBorder="1" applyAlignment="1">
      <alignment/>
    </xf>
    <xf numFmtId="0" fontId="27" fillId="0" borderId="21" xfId="0" applyFont="1" applyBorder="1" applyAlignment="1">
      <alignment vertical="center" wrapText="1"/>
    </xf>
    <xf numFmtId="165" fontId="26" fillId="25" borderId="29" xfId="0" applyNumberFormat="1" applyFont="1" applyFill="1" applyBorder="1" applyAlignment="1">
      <alignment/>
    </xf>
    <xf numFmtId="165" fontId="26" fillId="25" borderId="30" xfId="0" applyNumberFormat="1" applyFont="1" applyFill="1" applyBorder="1" applyAlignment="1">
      <alignment horizontal="center"/>
    </xf>
    <xf numFmtId="0" fontId="27" fillId="25" borderId="28" xfId="0" applyNumberFormat="1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left" vertical="center" wrapText="1"/>
    </xf>
    <xf numFmtId="0" fontId="27" fillId="0" borderId="21" xfId="0" applyFont="1" applyBorder="1" applyAlignment="1" quotePrefix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27" fillId="25" borderId="21" xfId="0" applyFont="1" applyFill="1" applyBorder="1" applyAlignment="1">
      <alignment vertical="center" wrapText="1"/>
    </xf>
    <xf numFmtId="0" fontId="27" fillId="25" borderId="21" xfId="0" applyFont="1" applyFill="1" applyBorder="1" applyAlignment="1" quotePrefix="1">
      <alignment horizontal="center" vertical="center" wrapText="1"/>
    </xf>
    <xf numFmtId="0" fontId="27" fillId="25" borderId="31" xfId="0" applyFont="1" applyFill="1" applyBorder="1" applyAlignment="1">
      <alignment vertical="center" wrapText="1"/>
    </xf>
    <xf numFmtId="168" fontId="26" fillId="25" borderId="18" xfId="0" applyNumberFormat="1" applyFont="1" applyFill="1" applyBorder="1" applyAlignment="1">
      <alignment horizontal="center"/>
    </xf>
    <xf numFmtId="165" fontId="27" fillId="25" borderId="32" xfId="0" applyNumberFormat="1" applyFont="1" applyFill="1" applyBorder="1" applyAlignment="1">
      <alignment horizontal="right"/>
    </xf>
    <xf numFmtId="165" fontId="26" fillId="0" borderId="33" xfId="0" applyNumberFormat="1" applyFont="1" applyBorder="1" applyAlignment="1">
      <alignment/>
    </xf>
    <xf numFmtId="0" fontId="26" fillId="24" borderId="34" xfId="0" applyFont="1" applyFill="1" applyBorder="1" applyAlignment="1">
      <alignment horizontal="center" wrapText="1"/>
    </xf>
    <xf numFmtId="168" fontId="26" fillId="0" borderId="28" xfId="0" applyNumberFormat="1" applyFont="1" applyBorder="1" applyAlignment="1">
      <alignment horizontal="center"/>
    </xf>
    <xf numFmtId="165" fontId="26" fillId="0" borderId="19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right"/>
    </xf>
    <xf numFmtId="165" fontId="26" fillId="0" borderId="35" xfId="0" applyNumberFormat="1" applyFont="1" applyBorder="1" applyAlignment="1">
      <alignment/>
    </xf>
    <xf numFmtId="0" fontId="26" fillId="24" borderId="36" xfId="0" applyFont="1" applyFill="1" applyBorder="1" applyAlignment="1">
      <alignment horizontal="center" wrapText="1"/>
    </xf>
    <xf numFmtId="168" fontId="26" fillId="0" borderId="16" xfId="0" applyNumberFormat="1" applyFont="1" applyBorder="1" applyAlignment="1">
      <alignment horizontal="center"/>
    </xf>
    <xf numFmtId="165" fontId="26" fillId="0" borderId="27" xfId="0" applyNumberFormat="1" applyFont="1" applyBorder="1" applyAlignment="1">
      <alignment horizontal="center"/>
    </xf>
    <xf numFmtId="165" fontId="27" fillId="0" borderId="36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26" fillId="24" borderId="19" xfId="0" applyFont="1" applyFill="1" applyBorder="1" applyAlignment="1">
      <alignment horizontal="center" wrapText="1"/>
    </xf>
    <xf numFmtId="0" fontId="26" fillId="24" borderId="37" xfId="0" applyFont="1" applyFill="1" applyBorder="1" applyAlignment="1">
      <alignment/>
    </xf>
    <xf numFmtId="0" fontId="26" fillId="24" borderId="38" xfId="0" applyFont="1" applyFill="1" applyBorder="1" applyAlignment="1">
      <alignment/>
    </xf>
    <xf numFmtId="0" fontId="0" fillId="24" borderId="39" xfId="0" applyFill="1" applyBorder="1" applyAlignment="1">
      <alignment/>
    </xf>
    <xf numFmtId="0" fontId="18" fillId="24" borderId="21" xfId="0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168" fontId="26" fillId="25" borderId="20" xfId="0" applyNumberFormat="1" applyFont="1" applyFill="1" applyBorder="1" applyAlignment="1">
      <alignment horizontal="center"/>
    </xf>
    <xf numFmtId="0" fontId="0" fillId="25" borderId="2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25" borderId="29" xfId="0" applyFont="1" applyFill="1" applyBorder="1" applyAlignment="1">
      <alignment/>
    </xf>
    <xf numFmtId="0" fontId="0" fillId="25" borderId="31" xfId="0" applyFont="1" applyFill="1" applyBorder="1" applyAlignment="1">
      <alignment/>
    </xf>
    <xf numFmtId="0" fontId="0" fillId="0" borderId="35" xfId="0" applyBorder="1" applyAlignment="1">
      <alignment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24" borderId="20" xfId="0" applyFont="1" applyFill="1" applyBorder="1" applyAlignment="1">
      <alignment horizont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26" fillId="24" borderId="45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center" vertical="center" wrapText="1"/>
    </xf>
    <xf numFmtId="0" fontId="27" fillId="25" borderId="34" xfId="0" applyFont="1" applyFill="1" applyBorder="1" applyAlignment="1">
      <alignment horizontal="right" vertical="center" wrapText="1"/>
    </xf>
    <xf numFmtId="0" fontId="27" fillId="25" borderId="21" xfId="0" applyFont="1" applyFill="1" applyBorder="1" applyAlignment="1">
      <alignment horizontal="right" vertical="center" wrapText="1"/>
    </xf>
    <xf numFmtId="0" fontId="27" fillId="26" borderId="48" xfId="50" applyFont="1" applyFill="1" applyBorder="1" applyAlignment="1">
      <alignment horizontal="center" wrapText="1"/>
    </xf>
    <xf numFmtId="0" fontId="27" fillId="26" borderId="17" xfId="50" applyFont="1" applyFill="1" applyBorder="1" applyAlignment="1">
      <alignment horizontal="center" wrapText="1"/>
    </xf>
    <xf numFmtId="0" fontId="27" fillId="0" borderId="49" xfId="0" applyFont="1" applyBorder="1" applyAlignment="1">
      <alignment horizontal="right" vertical="center" wrapText="1"/>
    </xf>
    <xf numFmtId="0" fontId="27" fillId="0" borderId="32" xfId="0" applyFont="1" applyBorder="1" applyAlignment="1">
      <alignment horizontal="right" vertical="center" wrapText="1"/>
    </xf>
    <xf numFmtId="0" fontId="18" fillId="24" borderId="20" xfId="0" applyFont="1" applyFill="1" applyBorder="1" applyAlignment="1">
      <alignment horizontal="center"/>
    </xf>
    <xf numFmtId="0" fontId="26" fillId="24" borderId="38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14</xdr:col>
      <xdr:colOff>352425</xdr:colOff>
      <xdr:row>4</xdr:row>
      <xdr:rowOff>123825</xdr:rowOff>
    </xdr:to>
    <xdr:pic>
      <xdr:nvPicPr>
        <xdr:cNvPr id="1" name="Obraz 77" descr="Opis: LOGOTYPY"/>
        <xdr:cNvPicPr preferRelativeResize="1">
          <a:picLocks noChangeAspect="1"/>
        </xdr:cNvPicPr>
      </xdr:nvPicPr>
      <xdr:blipFill>
        <a:blip r:embed="rId1"/>
        <a:srcRect t="18283" b="19013"/>
        <a:stretch>
          <a:fillRect/>
        </a:stretch>
      </xdr:blipFill>
      <xdr:spPr>
        <a:xfrm>
          <a:off x="0" y="38100"/>
          <a:ext cx="902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H30"/>
  <sheetViews>
    <sheetView tabSelected="1" workbookViewId="0" topLeftCell="A22">
      <selection activeCell="L9" sqref="L9"/>
    </sheetView>
  </sheetViews>
  <sheetFormatPr defaultColWidth="9.00390625" defaultRowHeight="12.75"/>
  <cols>
    <col min="1" max="1" width="4.00390625" style="66" customWidth="1"/>
    <col min="2" max="2" width="27.75390625" style="67" customWidth="1"/>
    <col min="3" max="3" width="12.125" style="0" customWidth="1"/>
    <col min="4" max="4" width="8.00390625" style="0" bestFit="1" customWidth="1"/>
    <col min="5" max="5" width="11.00390625" style="0" customWidth="1"/>
    <col min="6" max="6" width="12.125" style="0" customWidth="1"/>
    <col min="7" max="7" width="21.00390625" style="0" customWidth="1"/>
    <col min="8" max="8" width="23.375" style="0" customWidth="1"/>
    <col min="9" max="9" width="20.625" style="0" customWidth="1"/>
    <col min="10" max="10" width="22.125" style="0" customWidth="1"/>
    <col min="11" max="11" width="18.125" style="0" customWidth="1"/>
    <col min="12" max="12" width="18.25390625" style="0" customWidth="1"/>
  </cols>
  <sheetData>
    <row r="1" ht="13.5" thickBot="1"/>
    <row r="2" spans="1:10" ht="12.75" customHeight="1">
      <c r="A2" s="75"/>
      <c r="B2" s="76"/>
      <c r="C2" s="76"/>
      <c r="D2" s="76"/>
      <c r="E2" s="76"/>
      <c r="F2" s="76"/>
      <c r="G2" s="76"/>
      <c r="H2" s="76"/>
      <c r="I2" s="76"/>
      <c r="J2" s="76"/>
    </row>
    <row r="3" spans="1:10" ht="12.75" customHeight="1">
      <c r="A3" s="77"/>
      <c r="B3" s="78"/>
      <c r="C3" s="78"/>
      <c r="D3" s="78"/>
      <c r="E3" s="78"/>
      <c r="F3" s="78"/>
      <c r="G3" s="78"/>
      <c r="H3" s="78"/>
      <c r="I3" s="78"/>
      <c r="J3" s="78"/>
    </row>
    <row r="4" spans="1:10" ht="12.75" customHeight="1">
      <c r="A4" s="77"/>
      <c r="B4" s="78"/>
      <c r="C4" s="78"/>
      <c r="D4" s="78"/>
      <c r="E4" s="78"/>
      <c r="F4" s="78"/>
      <c r="G4" s="78"/>
      <c r="H4" s="78"/>
      <c r="I4" s="78"/>
      <c r="J4" s="78"/>
    </row>
    <row r="5" spans="1:10" ht="12.75" customHeight="1">
      <c r="A5" s="77"/>
      <c r="B5" s="78"/>
      <c r="D5" s="78"/>
      <c r="E5" s="78"/>
      <c r="F5" s="78"/>
      <c r="G5" s="78"/>
      <c r="H5" s="78"/>
      <c r="I5" s="78"/>
      <c r="J5" s="78"/>
    </row>
    <row r="6" spans="1:10" ht="12.75" customHeight="1">
      <c r="A6" s="77"/>
      <c r="B6" s="78"/>
      <c r="C6" s="78"/>
      <c r="D6" s="78"/>
      <c r="E6" s="78"/>
      <c r="F6" s="78"/>
      <c r="G6" s="78"/>
      <c r="H6" s="78"/>
      <c r="I6" s="78"/>
      <c r="J6" s="78"/>
    </row>
    <row r="7" spans="1:10" ht="27.75" customHeight="1">
      <c r="A7" s="77"/>
      <c r="B7" s="78"/>
      <c r="C7" s="78"/>
      <c r="D7" s="78"/>
      <c r="E7" s="78"/>
      <c r="F7" s="78"/>
      <c r="G7" s="78"/>
      <c r="H7" s="78"/>
      <c r="I7" s="78"/>
      <c r="J7" s="78"/>
    </row>
    <row r="8" spans="1:10" ht="46.5" customHeight="1">
      <c r="A8" s="77"/>
      <c r="B8" s="78"/>
      <c r="C8" s="78"/>
      <c r="D8" s="78"/>
      <c r="E8" s="144" t="s">
        <v>118</v>
      </c>
      <c r="F8" s="145"/>
      <c r="G8" s="145"/>
      <c r="H8" s="145"/>
      <c r="I8" s="145"/>
      <c r="J8" s="145"/>
    </row>
    <row r="9" spans="1:10" ht="19.5" customHeight="1">
      <c r="A9" s="77"/>
      <c r="B9" s="78"/>
      <c r="C9" s="78"/>
      <c r="D9" s="78"/>
      <c r="E9" s="78"/>
      <c r="F9" s="145"/>
      <c r="G9" s="145"/>
      <c r="H9" s="145"/>
      <c r="I9" s="145"/>
      <c r="J9" s="145"/>
    </row>
    <row r="10" spans="1:10" ht="18" customHeight="1">
      <c r="A10" s="149" t="s">
        <v>119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15.75" customHeight="1" thickBot="1">
      <c r="A11" s="79"/>
      <c r="B11" s="80"/>
      <c r="C11" s="80"/>
      <c r="D11" s="80"/>
      <c r="E11" s="80"/>
      <c r="F11" s="80"/>
      <c r="G11" s="80"/>
      <c r="H11" s="80"/>
      <c r="I11" s="80"/>
      <c r="J11" s="80"/>
    </row>
    <row r="12" spans="1:12" s="99" customFormat="1" ht="17.25" customHeight="1">
      <c r="A12" s="155" t="s">
        <v>78</v>
      </c>
      <c r="B12" s="146" t="s">
        <v>79</v>
      </c>
      <c r="C12" s="146" t="s">
        <v>108</v>
      </c>
      <c r="D12" s="146" t="s">
        <v>107</v>
      </c>
      <c r="E12" s="146" t="s">
        <v>106</v>
      </c>
      <c r="F12" s="152" t="s">
        <v>109</v>
      </c>
      <c r="G12" s="130"/>
      <c r="H12" s="131"/>
      <c r="I12" s="131"/>
      <c r="J12" s="165"/>
      <c r="K12" s="165"/>
      <c r="L12" s="132"/>
    </row>
    <row r="13" spans="1:12" s="99" customFormat="1" ht="15" customHeight="1">
      <c r="A13" s="156"/>
      <c r="B13" s="147"/>
      <c r="C13" s="147"/>
      <c r="D13" s="147"/>
      <c r="E13" s="147"/>
      <c r="F13" s="153"/>
      <c r="G13" s="129" t="s">
        <v>115</v>
      </c>
      <c r="H13" s="151" t="s">
        <v>116</v>
      </c>
      <c r="I13" s="151"/>
      <c r="J13" s="151"/>
      <c r="K13" s="164" t="s">
        <v>117</v>
      </c>
      <c r="L13" s="164"/>
    </row>
    <row r="14" spans="1:242" s="100" customFormat="1" ht="13.5" thickBot="1">
      <c r="A14" s="157"/>
      <c r="B14" s="148"/>
      <c r="C14" s="148"/>
      <c r="D14" s="148"/>
      <c r="E14" s="148"/>
      <c r="F14" s="154"/>
      <c r="G14" s="117" t="s">
        <v>84</v>
      </c>
      <c r="H14" s="84" t="s">
        <v>85</v>
      </c>
      <c r="I14" s="84" t="s">
        <v>86</v>
      </c>
      <c r="J14" s="122" t="s">
        <v>87</v>
      </c>
      <c r="K14" s="133" t="s">
        <v>91</v>
      </c>
      <c r="L14" s="133" t="s">
        <v>92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</row>
    <row r="15" spans="1:12" s="99" customFormat="1" ht="37.5" customHeight="1">
      <c r="A15" s="101">
        <v>1</v>
      </c>
      <c r="B15" s="102" t="s">
        <v>112</v>
      </c>
      <c r="C15" s="68"/>
      <c r="D15" s="88">
        <v>0.23</v>
      </c>
      <c r="E15" s="81"/>
      <c r="F15" s="116"/>
      <c r="G15" s="118"/>
      <c r="H15" s="69"/>
      <c r="I15" s="69"/>
      <c r="J15" s="123"/>
      <c r="K15" s="127"/>
      <c r="L15" s="138"/>
    </row>
    <row r="16" spans="1:12" s="99" customFormat="1" ht="18.75" customHeight="1">
      <c r="A16" s="101"/>
      <c r="B16" s="102"/>
      <c r="C16" s="68"/>
      <c r="D16" s="88"/>
      <c r="E16" s="81"/>
      <c r="F16" s="121"/>
      <c r="G16" s="118"/>
      <c r="H16" s="69"/>
      <c r="I16" s="69"/>
      <c r="J16" s="123"/>
      <c r="K16" s="127"/>
      <c r="L16" s="143"/>
    </row>
    <row r="17" spans="1:12" s="99" customFormat="1" ht="37.5" customHeight="1">
      <c r="A17" s="101">
        <v>2</v>
      </c>
      <c r="B17" s="102" t="s">
        <v>113</v>
      </c>
      <c r="C17" s="68"/>
      <c r="D17" s="88">
        <v>0.23</v>
      </c>
      <c r="E17" s="81"/>
      <c r="F17" s="121"/>
      <c r="G17" s="118"/>
      <c r="H17" s="69"/>
      <c r="I17" s="69"/>
      <c r="J17" s="123"/>
      <c r="K17" s="126"/>
      <c r="L17" s="139"/>
    </row>
    <row r="18" spans="1:12" s="99" customFormat="1" ht="18.75" customHeight="1">
      <c r="A18" s="101"/>
      <c r="B18" s="102"/>
      <c r="C18" s="68"/>
      <c r="D18" s="88"/>
      <c r="E18" s="81"/>
      <c r="F18" s="121"/>
      <c r="G18" s="118"/>
      <c r="H18" s="69"/>
      <c r="I18" s="69"/>
      <c r="J18" s="123"/>
      <c r="K18" s="126"/>
      <c r="L18" s="139"/>
    </row>
    <row r="19" spans="1:12" s="99" customFormat="1" ht="37.5" customHeight="1">
      <c r="A19" s="101">
        <v>3</v>
      </c>
      <c r="B19" s="102" t="s">
        <v>114</v>
      </c>
      <c r="C19" s="68"/>
      <c r="D19" s="88">
        <v>0.23</v>
      </c>
      <c r="E19" s="81"/>
      <c r="F19" s="121"/>
      <c r="G19" s="118"/>
      <c r="H19" s="69"/>
      <c r="I19" s="69"/>
      <c r="J19" s="123"/>
      <c r="K19" s="126"/>
      <c r="L19" s="139"/>
    </row>
    <row r="20" spans="1:12" s="99" customFormat="1" ht="12.75">
      <c r="A20" s="70"/>
      <c r="B20" s="71"/>
      <c r="C20" s="72"/>
      <c r="D20" s="88"/>
      <c r="E20" s="82"/>
      <c r="F20" s="103"/>
      <c r="G20" s="119"/>
      <c r="H20" s="73"/>
      <c r="I20" s="73"/>
      <c r="J20" s="124"/>
      <c r="K20" s="126"/>
      <c r="L20" s="139"/>
    </row>
    <row r="21" spans="1:12" ht="42" customHeight="1" thickBot="1">
      <c r="A21" s="162" t="s">
        <v>110</v>
      </c>
      <c r="B21" s="163"/>
      <c r="C21" s="104"/>
      <c r="D21" s="109" t="s">
        <v>111</v>
      </c>
      <c r="E21" s="104"/>
      <c r="F21" s="110"/>
      <c r="G21" s="120"/>
      <c r="H21" s="74"/>
      <c r="I21" s="74"/>
      <c r="J21" s="125"/>
      <c r="K21" s="128"/>
      <c r="L21" s="140"/>
    </row>
    <row r="22" spans="1:10" ht="39.75" customHeight="1">
      <c r="A22" s="83"/>
      <c r="B22" s="85"/>
      <c r="C22" s="86"/>
      <c r="D22" s="86"/>
      <c r="E22" s="86"/>
      <c r="F22" s="86"/>
      <c r="G22" s="87"/>
      <c r="H22" s="87"/>
      <c r="I22" s="87"/>
      <c r="J22" s="87"/>
    </row>
    <row r="23" spans="1:12" ht="15.75" customHeight="1">
      <c r="A23" s="160" t="s">
        <v>105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35"/>
      <c r="L23" s="135"/>
    </row>
    <row r="24" spans="1:12" ht="36.75" customHeight="1">
      <c r="A24" s="107">
        <v>1</v>
      </c>
      <c r="B24" s="108" t="s">
        <v>112</v>
      </c>
      <c r="C24" s="89"/>
      <c r="D24" s="90">
        <v>0.23</v>
      </c>
      <c r="E24" s="91"/>
      <c r="F24" s="105"/>
      <c r="G24" s="114"/>
      <c r="H24" s="92"/>
      <c r="I24" s="92"/>
      <c r="J24" s="136"/>
      <c r="K24" s="134"/>
      <c r="L24" s="141"/>
    </row>
    <row r="25" spans="1:12" ht="20.25" customHeight="1">
      <c r="A25" s="107"/>
      <c r="B25" s="108"/>
      <c r="C25" s="89"/>
      <c r="D25" s="90"/>
      <c r="E25" s="91"/>
      <c r="F25" s="105"/>
      <c r="G25" s="114"/>
      <c r="H25" s="92"/>
      <c r="I25" s="92"/>
      <c r="J25" s="136"/>
      <c r="K25" s="134"/>
      <c r="L25" s="141"/>
    </row>
    <row r="26" spans="1:12" ht="36.75" customHeight="1">
      <c r="A26" s="107">
        <v>2</v>
      </c>
      <c r="B26" s="108" t="s">
        <v>113</v>
      </c>
      <c r="C26" s="89"/>
      <c r="D26" s="90">
        <v>0.23</v>
      </c>
      <c r="E26" s="91"/>
      <c r="F26" s="105"/>
      <c r="G26" s="114"/>
      <c r="H26" s="92"/>
      <c r="I26" s="92"/>
      <c r="J26" s="136"/>
      <c r="K26" s="134"/>
      <c r="L26" s="141"/>
    </row>
    <row r="27" spans="1:12" ht="18" customHeight="1">
      <c r="A27" s="107"/>
      <c r="B27" s="108"/>
      <c r="C27" s="89"/>
      <c r="D27" s="90"/>
      <c r="E27" s="91"/>
      <c r="F27" s="105"/>
      <c r="G27" s="114"/>
      <c r="H27" s="92"/>
      <c r="I27" s="92"/>
      <c r="J27" s="136"/>
      <c r="K27" s="134"/>
      <c r="L27" s="141"/>
    </row>
    <row r="28" spans="1:12" ht="36.75" customHeight="1">
      <c r="A28" s="107">
        <v>3</v>
      </c>
      <c r="B28" s="108" t="s">
        <v>114</v>
      </c>
      <c r="C28" s="89"/>
      <c r="D28" s="90">
        <v>0.23</v>
      </c>
      <c r="E28" s="91"/>
      <c r="F28" s="105"/>
      <c r="G28" s="114"/>
      <c r="H28" s="92"/>
      <c r="I28" s="92"/>
      <c r="J28" s="136"/>
      <c r="K28" s="134"/>
      <c r="L28" s="141"/>
    </row>
    <row r="29" spans="1:12" ht="18" customHeight="1">
      <c r="A29" s="93"/>
      <c r="B29" s="94"/>
      <c r="C29" s="95"/>
      <c r="D29" s="90"/>
      <c r="E29" s="96"/>
      <c r="F29" s="105"/>
      <c r="G29" s="106"/>
      <c r="H29" s="97"/>
      <c r="I29" s="97"/>
      <c r="J29" s="97"/>
      <c r="K29" s="134"/>
      <c r="L29" s="141"/>
    </row>
    <row r="30" spans="1:12" ht="37.5" customHeight="1" thickBot="1">
      <c r="A30" s="158" t="s">
        <v>110</v>
      </c>
      <c r="B30" s="159"/>
      <c r="C30" s="111"/>
      <c r="D30" s="112" t="s">
        <v>111</v>
      </c>
      <c r="E30" s="111"/>
      <c r="F30" s="113"/>
      <c r="G30" s="115"/>
      <c r="H30" s="98"/>
      <c r="I30" s="98"/>
      <c r="J30" s="98"/>
      <c r="K30" s="137"/>
      <c r="L30" s="142"/>
    </row>
  </sheetData>
  <sheetProtection/>
  <mergeCells count="15">
    <mergeCell ref="A30:B30"/>
    <mergeCell ref="A23:J23"/>
    <mergeCell ref="A21:B21"/>
    <mergeCell ref="K13:L13"/>
    <mergeCell ref="J12:K12"/>
    <mergeCell ref="E8:J8"/>
    <mergeCell ref="F9:J9"/>
    <mergeCell ref="B12:B14"/>
    <mergeCell ref="C12:C14"/>
    <mergeCell ref="D12:D14"/>
    <mergeCell ref="A10:J10"/>
    <mergeCell ref="H13:J13"/>
    <mergeCell ref="F12:F14"/>
    <mergeCell ref="E12:E14"/>
    <mergeCell ref="A12:A14"/>
  </mergeCells>
  <printOptions gridLines="1"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75" r:id="rId1"/>
  <headerFooter>
    <oddHeader>&amp;CHARMONOGRAN RZECZOWO-FINANSOWY
 DLA ZADANIA
.............................................
</oddHeader>
    <oddFooter>&amp;L&amp;12WYKONAWCA Data: .......&amp;R&amp;12ZAMAWIAJĄCY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Q75"/>
  <sheetViews>
    <sheetView zoomScalePageLayoutView="0" workbookViewId="0" topLeftCell="A1">
      <selection activeCell="A7" sqref="A7:Q9"/>
    </sheetView>
  </sheetViews>
  <sheetFormatPr defaultColWidth="9.00390625" defaultRowHeight="12.75"/>
  <cols>
    <col min="1" max="1" width="2.25390625" style="0" customWidth="1"/>
    <col min="3" max="3" width="3.375" style="0" customWidth="1"/>
    <col min="4" max="4" width="9.75390625" style="0" customWidth="1"/>
    <col min="5" max="5" width="11.75390625" style="0" customWidth="1"/>
    <col min="6" max="6" width="8.75390625" style="0" customWidth="1"/>
    <col min="7" max="10" width="8.625" style="0" customWidth="1"/>
    <col min="11" max="11" width="8.00390625" style="0" customWidth="1"/>
    <col min="12" max="12" width="8.75390625" style="0" customWidth="1"/>
    <col min="13" max="13" width="9.00390625" style="0" customWidth="1"/>
    <col min="14" max="14" width="8.625" style="0" customWidth="1"/>
    <col min="15" max="15" width="7.875" style="0" customWidth="1"/>
    <col min="16" max="16" width="8.375" style="0" customWidth="1"/>
    <col min="17" max="17" width="8.25390625" style="0" customWidth="1"/>
  </cols>
  <sheetData>
    <row r="7" spans="1:17" ht="12.75">
      <c r="A7" s="166" t="s">
        <v>104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12.7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ht="12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</row>
    <row r="10" spans="1:17" ht="18">
      <c r="A10" s="26"/>
      <c r="B10" s="26"/>
      <c r="C10" s="26"/>
      <c r="D10" s="26"/>
      <c r="E10" s="26"/>
      <c r="F10" s="29"/>
      <c r="G10" s="30"/>
      <c r="H10" s="31" t="s">
        <v>89</v>
      </c>
      <c r="I10" s="30"/>
      <c r="J10" s="30"/>
      <c r="K10" s="32"/>
      <c r="L10" s="29"/>
      <c r="M10" s="36"/>
      <c r="N10" s="36"/>
      <c r="O10" s="31" t="s">
        <v>98</v>
      </c>
      <c r="P10" s="36"/>
      <c r="Q10" s="37"/>
    </row>
    <row r="11" spans="1:17" ht="56.25">
      <c r="A11" s="27" t="s">
        <v>78</v>
      </c>
      <c r="B11" s="43" t="s">
        <v>79</v>
      </c>
      <c r="C11" s="43" t="s">
        <v>80</v>
      </c>
      <c r="D11" s="43" t="s">
        <v>13</v>
      </c>
      <c r="E11" s="41" t="s">
        <v>81</v>
      </c>
      <c r="F11" s="45" t="s">
        <v>88</v>
      </c>
      <c r="G11" s="46" t="s">
        <v>88</v>
      </c>
      <c r="H11" s="47" t="s">
        <v>88</v>
      </c>
      <c r="I11" s="45" t="s">
        <v>90</v>
      </c>
      <c r="J11" s="46" t="s">
        <v>90</v>
      </c>
      <c r="K11" s="47" t="s">
        <v>90</v>
      </c>
      <c r="L11" s="48" t="s">
        <v>96</v>
      </c>
      <c r="M11" s="49" t="s">
        <v>96</v>
      </c>
      <c r="N11" s="50" t="s">
        <v>96</v>
      </c>
      <c r="O11" s="48" t="s">
        <v>97</v>
      </c>
      <c r="P11" s="49" t="s">
        <v>97</v>
      </c>
      <c r="Q11" s="63" t="s">
        <v>102</v>
      </c>
    </row>
    <row r="12" spans="1:17" ht="22.5">
      <c r="A12" s="28"/>
      <c r="B12" s="44"/>
      <c r="C12" s="44"/>
      <c r="D12" s="44"/>
      <c r="E12" s="42"/>
      <c r="F12" s="33" t="s">
        <v>82</v>
      </c>
      <c r="G12" s="34" t="s">
        <v>83</v>
      </c>
      <c r="H12" s="35" t="s">
        <v>84</v>
      </c>
      <c r="I12" s="33" t="s">
        <v>85</v>
      </c>
      <c r="J12" s="34" t="s">
        <v>86</v>
      </c>
      <c r="K12" s="35" t="s">
        <v>87</v>
      </c>
      <c r="L12" s="38" t="s">
        <v>91</v>
      </c>
      <c r="M12" s="39" t="s">
        <v>92</v>
      </c>
      <c r="N12" s="40" t="s">
        <v>93</v>
      </c>
      <c r="O12" s="51" t="s">
        <v>94</v>
      </c>
      <c r="P12" s="39" t="s">
        <v>95</v>
      </c>
      <c r="Q12" s="64" t="s">
        <v>103</v>
      </c>
    </row>
    <row r="13" spans="1:12" ht="22.5">
      <c r="A13" s="25" t="s">
        <v>11</v>
      </c>
      <c r="B13" s="4" t="s">
        <v>27</v>
      </c>
      <c r="C13" s="3"/>
      <c r="D13" s="4"/>
      <c r="E13" s="4"/>
      <c r="F13" s="3"/>
      <c r="G13" s="4"/>
      <c r="H13" s="4"/>
      <c r="I13" s="4"/>
      <c r="J13" s="3"/>
      <c r="K13" s="3"/>
      <c r="L13" s="2"/>
    </row>
    <row r="14" spans="1:17" ht="12.75">
      <c r="A14" s="6" t="s">
        <v>0</v>
      </c>
      <c r="B14" s="7" t="s">
        <v>12</v>
      </c>
      <c r="C14" s="7" t="s">
        <v>14</v>
      </c>
      <c r="D14" s="5">
        <f>3085+3108</f>
        <v>6193</v>
      </c>
      <c r="E14" s="53">
        <v>173359</v>
      </c>
      <c r="F14" s="54">
        <v>53359</v>
      </c>
      <c r="G14" s="54">
        <v>40000</v>
      </c>
      <c r="H14" s="55">
        <v>40000</v>
      </c>
      <c r="I14" s="54">
        <v>30000</v>
      </c>
      <c r="J14" s="56">
        <v>10000</v>
      </c>
      <c r="K14" s="56"/>
      <c r="L14" s="54"/>
      <c r="M14" s="54"/>
      <c r="N14" s="54"/>
      <c r="O14" s="54"/>
      <c r="P14" s="54"/>
      <c r="Q14" s="54"/>
    </row>
    <row r="15" spans="1:17" ht="12.75">
      <c r="A15" s="6" t="s">
        <v>1</v>
      </c>
      <c r="B15" s="9" t="s">
        <v>15</v>
      </c>
      <c r="C15" s="9" t="s">
        <v>16</v>
      </c>
      <c r="D15" s="5">
        <f>414+252</f>
        <v>666</v>
      </c>
      <c r="E15" s="53">
        <f>14479.2</f>
        <v>14479.2</v>
      </c>
      <c r="F15" s="54">
        <v>10000</v>
      </c>
      <c r="G15" s="54">
        <v>4479.2</v>
      </c>
      <c r="H15" s="54"/>
      <c r="I15" s="54"/>
      <c r="J15" s="56"/>
      <c r="K15" s="56"/>
      <c r="L15" s="54"/>
      <c r="M15" s="54"/>
      <c r="N15" s="54"/>
      <c r="O15" s="54"/>
      <c r="P15" s="54"/>
      <c r="Q15" s="54"/>
    </row>
    <row r="16" spans="1:17" ht="12.75">
      <c r="A16" s="5" t="s">
        <v>2</v>
      </c>
      <c r="B16" s="7" t="s">
        <v>17</v>
      </c>
      <c r="C16" s="7" t="s">
        <v>18</v>
      </c>
      <c r="D16" s="5">
        <f>50</f>
        <v>50</v>
      </c>
      <c r="E16" s="53">
        <v>23660</v>
      </c>
      <c r="F16" s="54"/>
      <c r="G16" s="54"/>
      <c r="H16" s="54">
        <v>13660</v>
      </c>
      <c r="I16" s="54">
        <v>10000</v>
      </c>
      <c r="J16" s="56"/>
      <c r="K16" s="56"/>
      <c r="L16" s="54"/>
      <c r="M16" s="54"/>
      <c r="N16" s="54"/>
      <c r="O16" s="54"/>
      <c r="P16" s="54"/>
      <c r="Q16" s="54"/>
    </row>
    <row r="17" spans="1:17" ht="12.75">
      <c r="A17" s="5" t="s">
        <v>3</v>
      </c>
      <c r="B17" s="10" t="s">
        <v>19</v>
      </c>
      <c r="C17" s="10" t="s">
        <v>14</v>
      </c>
      <c r="D17" s="5">
        <f>1312+3918+2812+101</f>
        <v>8143</v>
      </c>
      <c r="E17" s="53">
        <f>238629</f>
        <v>238629</v>
      </c>
      <c r="F17" s="54"/>
      <c r="G17" s="54">
        <v>50000</v>
      </c>
      <c r="H17" s="54">
        <v>80000</v>
      </c>
      <c r="I17" s="54">
        <v>70000</v>
      </c>
      <c r="J17" s="56">
        <v>38629</v>
      </c>
      <c r="K17" s="56"/>
      <c r="L17" s="54"/>
      <c r="M17" s="54"/>
      <c r="N17" s="54"/>
      <c r="O17" s="54"/>
      <c r="P17" s="54"/>
      <c r="Q17" s="54"/>
    </row>
    <row r="18" spans="1:17" ht="56.25">
      <c r="A18" s="5" t="s">
        <v>4</v>
      </c>
      <c r="B18" s="11" t="s">
        <v>20</v>
      </c>
      <c r="C18" s="10" t="s">
        <v>14</v>
      </c>
      <c r="D18" s="5">
        <f>350+495+25</f>
        <v>870</v>
      </c>
      <c r="E18" s="53">
        <f>66500+138600+10000+5000+8250</f>
        <v>228350</v>
      </c>
      <c r="F18" s="54"/>
      <c r="G18" s="54"/>
      <c r="H18" s="54"/>
      <c r="I18" s="54"/>
      <c r="J18" s="54">
        <v>52111.21</v>
      </c>
      <c r="K18" s="56"/>
      <c r="L18" s="54">
        <v>176238.79</v>
      </c>
      <c r="M18" s="54"/>
      <c r="N18" s="54"/>
      <c r="O18" s="54"/>
      <c r="P18" s="54"/>
      <c r="Q18" s="54"/>
    </row>
    <row r="19" spans="1:17" ht="12.75">
      <c r="A19" s="5" t="s">
        <v>5</v>
      </c>
      <c r="B19" s="10" t="s">
        <v>21</v>
      </c>
      <c r="C19" s="10" t="s">
        <v>14</v>
      </c>
      <c r="D19" s="5">
        <f>2812+3023+25</f>
        <v>5860</v>
      </c>
      <c r="E19" s="53">
        <f>664798-228350</f>
        <v>436448</v>
      </c>
      <c r="F19" s="54"/>
      <c r="G19" s="54">
        <v>30000</v>
      </c>
      <c r="H19" s="54">
        <v>136448</v>
      </c>
      <c r="I19" s="54">
        <v>120000</v>
      </c>
      <c r="J19" s="56">
        <v>130000</v>
      </c>
      <c r="K19" s="56">
        <v>20000</v>
      </c>
      <c r="L19" s="54"/>
      <c r="M19" s="54"/>
      <c r="N19" s="54"/>
      <c r="O19" s="54"/>
      <c r="P19" s="54"/>
      <c r="Q19" s="54"/>
    </row>
    <row r="20" spans="1:17" ht="12.75">
      <c r="A20" s="5" t="s">
        <v>6</v>
      </c>
      <c r="B20" s="10" t="s">
        <v>22</v>
      </c>
      <c r="C20" s="10" t="s">
        <v>18</v>
      </c>
      <c r="D20" s="5">
        <f>784</f>
        <v>784</v>
      </c>
      <c r="E20" s="53">
        <v>62720</v>
      </c>
      <c r="F20" s="54"/>
      <c r="G20" s="54">
        <v>12720</v>
      </c>
      <c r="H20" s="54">
        <v>20000</v>
      </c>
      <c r="I20" s="54">
        <v>20000</v>
      </c>
      <c r="J20" s="56">
        <v>10000</v>
      </c>
      <c r="K20" s="56"/>
      <c r="L20" s="54"/>
      <c r="M20" s="54"/>
      <c r="N20" s="54"/>
      <c r="O20" s="54"/>
      <c r="P20" s="54"/>
      <c r="Q20" s="54"/>
    </row>
    <row r="21" spans="1:17" ht="12.75">
      <c r="A21" s="5" t="s">
        <v>7</v>
      </c>
      <c r="B21" s="10" t="s">
        <v>23</v>
      </c>
      <c r="C21" s="10" t="s">
        <v>14</v>
      </c>
      <c r="D21" s="5">
        <v>1312</v>
      </c>
      <c r="E21" s="53">
        <f>274714-62720</f>
        <v>211994</v>
      </c>
      <c r="F21" s="54"/>
      <c r="G21" s="54"/>
      <c r="H21" s="54">
        <v>61994</v>
      </c>
      <c r="I21" s="54">
        <v>150000</v>
      </c>
      <c r="J21" s="56"/>
      <c r="K21" s="56"/>
      <c r="L21" s="54"/>
      <c r="M21" s="54"/>
      <c r="N21" s="54"/>
      <c r="O21" s="54"/>
      <c r="P21" s="54"/>
      <c r="Q21" s="54"/>
    </row>
    <row r="22" spans="1:17" ht="56.25">
      <c r="A22" s="5" t="s">
        <v>8</v>
      </c>
      <c r="B22" s="11" t="s">
        <v>24</v>
      </c>
      <c r="C22" s="10" t="s">
        <v>25</v>
      </c>
      <c r="D22" s="5">
        <f>35</f>
        <v>35</v>
      </c>
      <c r="E22" s="53">
        <v>13500</v>
      </c>
      <c r="F22" s="54"/>
      <c r="G22" s="54"/>
      <c r="H22" s="54">
        <v>3000</v>
      </c>
      <c r="I22" s="54">
        <v>3500</v>
      </c>
      <c r="J22" s="56">
        <v>3500</v>
      </c>
      <c r="K22" s="56">
        <v>3500</v>
      </c>
      <c r="L22" s="54"/>
      <c r="M22" s="54"/>
      <c r="N22" s="54"/>
      <c r="O22" s="54"/>
      <c r="P22" s="54"/>
      <c r="Q22" s="54"/>
    </row>
    <row r="23" spans="1:17" ht="56.25">
      <c r="A23" s="5" t="s">
        <v>9</v>
      </c>
      <c r="B23" s="11" t="s">
        <v>26</v>
      </c>
      <c r="C23" s="10" t="s">
        <v>14</v>
      </c>
      <c r="D23" s="5">
        <f>185</f>
        <v>185</v>
      </c>
      <c r="E23" s="53">
        <v>21020</v>
      </c>
      <c r="F23" s="54"/>
      <c r="G23" s="54"/>
      <c r="H23" s="54">
        <v>5000</v>
      </c>
      <c r="I23" s="54">
        <v>6020</v>
      </c>
      <c r="J23" s="56">
        <v>6000</v>
      </c>
      <c r="K23" s="56">
        <v>4000</v>
      </c>
      <c r="L23" s="54"/>
      <c r="M23" s="54"/>
      <c r="N23" s="54"/>
      <c r="O23" s="54"/>
      <c r="P23" s="54"/>
      <c r="Q23" s="54"/>
    </row>
    <row r="24" spans="1:17" ht="33.75">
      <c r="A24" s="5"/>
      <c r="B24" s="12" t="s">
        <v>37</v>
      </c>
      <c r="C24" s="10"/>
      <c r="D24" s="5"/>
      <c r="E24" s="57">
        <f>SUM(E14:E23)</f>
        <v>1424159.2</v>
      </c>
      <c r="F24" s="54">
        <f aca="true" t="shared" si="0" ref="F24:Q24">SUM(F14:F23)</f>
        <v>63359</v>
      </c>
      <c r="G24" s="54">
        <f t="shared" si="0"/>
        <v>137199.2</v>
      </c>
      <c r="H24" s="54">
        <f t="shared" si="0"/>
        <v>360102</v>
      </c>
      <c r="I24" s="54">
        <f t="shared" si="0"/>
        <v>409520</v>
      </c>
      <c r="J24" s="54">
        <f t="shared" si="0"/>
        <v>250240.21</v>
      </c>
      <c r="K24" s="54">
        <f t="shared" si="0"/>
        <v>27500</v>
      </c>
      <c r="L24" s="54">
        <f t="shared" si="0"/>
        <v>176238.79</v>
      </c>
      <c r="M24" s="54">
        <f t="shared" si="0"/>
        <v>0</v>
      </c>
      <c r="N24" s="54">
        <f t="shared" si="0"/>
        <v>0</v>
      </c>
      <c r="O24" s="54">
        <f t="shared" si="0"/>
        <v>0</v>
      </c>
      <c r="P24" s="54">
        <f t="shared" si="0"/>
        <v>0</v>
      </c>
      <c r="Q24" s="54">
        <f t="shared" si="0"/>
        <v>0</v>
      </c>
    </row>
    <row r="25" spans="1:17" ht="12.75">
      <c r="A25" s="5"/>
      <c r="B25" s="13" t="s">
        <v>28</v>
      </c>
      <c r="C25" s="10"/>
      <c r="D25" s="5"/>
      <c r="E25" s="53"/>
      <c r="F25" s="54"/>
      <c r="G25" s="54"/>
      <c r="H25" s="54"/>
      <c r="I25" s="54"/>
      <c r="J25" s="56"/>
      <c r="K25" s="56"/>
      <c r="L25" s="54"/>
      <c r="M25" s="54"/>
      <c r="N25" s="54"/>
      <c r="O25" s="54"/>
      <c r="P25" s="54"/>
      <c r="Q25" s="54"/>
    </row>
    <row r="26" spans="1:17" ht="12.75">
      <c r="A26" s="5" t="s">
        <v>0</v>
      </c>
      <c r="B26" s="10" t="s">
        <v>29</v>
      </c>
      <c r="C26" s="10" t="s">
        <v>16</v>
      </c>
      <c r="D26" s="5">
        <f>1100</f>
        <v>1100</v>
      </c>
      <c r="E26" s="53">
        <f>2500+27500+3300</f>
        <v>33300</v>
      </c>
      <c r="F26" s="54"/>
      <c r="G26" s="54">
        <v>8000</v>
      </c>
      <c r="H26" s="54">
        <v>8000</v>
      </c>
      <c r="I26" s="54">
        <v>8650</v>
      </c>
      <c r="J26" s="56">
        <v>8650</v>
      </c>
      <c r="K26" s="56"/>
      <c r="L26" s="54"/>
      <c r="M26" s="54"/>
      <c r="N26" s="54"/>
      <c r="O26" s="54"/>
      <c r="P26" s="54"/>
      <c r="Q26" s="54"/>
    </row>
    <row r="27" spans="1:17" ht="45">
      <c r="A27" s="5" t="s">
        <v>1</v>
      </c>
      <c r="B27" s="11" t="s">
        <v>30</v>
      </c>
      <c r="C27" s="10" t="s">
        <v>31</v>
      </c>
      <c r="D27" s="5">
        <f>125+125+130+30+6</f>
        <v>416</v>
      </c>
      <c r="E27" s="53">
        <f>30800+3200+10000+6750+5070+810+96+14400+4000+4040+3150+27000</f>
        <v>109316</v>
      </c>
      <c r="F27" s="54"/>
      <c r="G27" s="54">
        <v>20316</v>
      </c>
      <c r="H27" s="54">
        <v>35000</v>
      </c>
      <c r="I27" s="54">
        <v>20000</v>
      </c>
      <c r="J27" s="56">
        <v>34000</v>
      </c>
      <c r="K27" s="56"/>
      <c r="L27" s="54"/>
      <c r="M27" s="54"/>
      <c r="N27" s="54"/>
      <c r="O27" s="54"/>
      <c r="P27" s="54"/>
      <c r="Q27" s="54"/>
    </row>
    <row r="28" spans="1:17" ht="56.25">
      <c r="A28" s="5"/>
      <c r="B28" s="12" t="s">
        <v>99</v>
      </c>
      <c r="C28" s="10"/>
      <c r="D28" s="5"/>
      <c r="E28" s="57">
        <f>SUM(E26:E27)</f>
        <v>142616</v>
      </c>
      <c r="F28" s="54">
        <f aca="true" t="shared" si="1" ref="F28:Q28">SUM(F26:F27)</f>
        <v>0</v>
      </c>
      <c r="G28" s="54">
        <f t="shared" si="1"/>
        <v>28316</v>
      </c>
      <c r="H28" s="54">
        <f t="shared" si="1"/>
        <v>43000</v>
      </c>
      <c r="I28" s="54">
        <f t="shared" si="1"/>
        <v>28650</v>
      </c>
      <c r="J28" s="54">
        <f t="shared" si="1"/>
        <v>42650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0</v>
      </c>
      <c r="O28" s="54">
        <f t="shared" si="1"/>
        <v>0</v>
      </c>
      <c r="P28" s="54">
        <f t="shared" si="1"/>
        <v>0</v>
      </c>
      <c r="Q28" s="54">
        <f t="shared" si="1"/>
        <v>0</v>
      </c>
    </row>
    <row r="29" spans="1:17" ht="12.75">
      <c r="A29" s="5"/>
      <c r="B29" s="13" t="s">
        <v>32</v>
      </c>
      <c r="C29" s="10"/>
      <c r="D29" s="5"/>
      <c r="E29" s="53"/>
      <c r="F29" s="54"/>
      <c r="G29" s="54"/>
      <c r="H29" s="54"/>
      <c r="I29" s="54"/>
      <c r="J29" s="56"/>
      <c r="K29" s="56"/>
      <c r="L29" s="54"/>
      <c r="M29" s="54"/>
      <c r="N29" s="54"/>
      <c r="O29" s="54"/>
      <c r="P29" s="54"/>
      <c r="Q29" s="54"/>
    </row>
    <row r="30" spans="1:17" ht="12.75">
      <c r="A30" s="5" t="s">
        <v>0</v>
      </c>
      <c r="B30" s="10" t="s">
        <v>33</v>
      </c>
      <c r="C30" s="10" t="s">
        <v>31</v>
      </c>
      <c r="D30" s="5">
        <f>308+8+17</f>
        <v>333</v>
      </c>
      <c r="E30" s="53">
        <v>14458.9</v>
      </c>
      <c r="F30" s="54">
        <v>14458.9</v>
      </c>
      <c r="G30" s="54"/>
      <c r="H30" s="54"/>
      <c r="I30" s="54"/>
      <c r="J30" s="56"/>
      <c r="K30" s="56"/>
      <c r="L30" s="54"/>
      <c r="M30" s="54"/>
      <c r="N30" s="54"/>
      <c r="O30" s="54"/>
      <c r="P30" s="54"/>
      <c r="Q30" s="54"/>
    </row>
    <row r="31" spans="1:17" ht="12.75">
      <c r="A31" s="5" t="s">
        <v>1</v>
      </c>
      <c r="B31" s="10" t="s">
        <v>34</v>
      </c>
      <c r="C31" s="10" t="s">
        <v>31</v>
      </c>
      <c r="D31" s="5">
        <f>273</f>
        <v>273</v>
      </c>
      <c r="E31" s="53">
        <v>2255</v>
      </c>
      <c r="F31" s="54">
        <v>2255</v>
      </c>
      <c r="G31" s="54"/>
      <c r="H31" s="54"/>
      <c r="I31" s="54"/>
      <c r="J31" s="56"/>
      <c r="K31" s="56"/>
      <c r="L31" s="54"/>
      <c r="M31" s="54"/>
      <c r="N31" s="54"/>
      <c r="O31" s="54"/>
      <c r="P31" s="54"/>
      <c r="Q31" s="54"/>
    </row>
    <row r="32" spans="1:17" ht="12.75">
      <c r="A32" s="5" t="s">
        <v>2</v>
      </c>
      <c r="B32" s="10" t="s">
        <v>35</v>
      </c>
      <c r="C32" s="10" t="s">
        <v>31</v>
      </c>
      <c r="D32" s="5">
        <f>166+121+30+90</f>
        <v>407</v>
      </c>
      <c r="E32" s="53">
        <v>32280.4</v>
      </c>
      <c r="F32" s="54"/>
      <c r="G32" s="54">
        <v>32280.4</v>
      </c>
      <c r="H32" s="54"/>
      <c r="I32" s="54"/>
      <c r="J32" s="56"/>
      <c r="K32" s="56"/>
      <c r="L32" s="54"/>
      <c r="M32" s="54"/>
      <c r="N32" s="54"/>
      <c r="O32" s="54"/>
      <c r="P32" s="54"/>
      <c r="Q32" s="54"/>
    </row>
    <row r="33" spans="1:17" ht="12.75">
      <c r="A33" s="5" t="s">
        <v>3</v>
      </c>
      <c r="B33" s="10" t="s">
        <v>36</v>
      </c>
      <c r="C33" s="10" t="s">
        <v>25</v>
      </c>
      <c r="D33" s="5">
        <f>31</f>
        <v>31</v>
      </c>
      <c r="E33" s="53">
        <f>600+135887</f>
        <v>136487</v>
      </c>
      <c r="F33" s="54"/>
      <c r="G33" s="54"/>
      <c r="H33" s="54">
        <v>36487</v>
      </c>
      <c r="I33" s="54">
        <v>35000</v>
      </c>
      <c r="J33" s="56">
        <v>35000</v>
      </c>
      <c r="K33" s="56"/>
      <c r="L33" s="54">
        <v>30000</v>
      </c>
      <c r="M33" s="54"/>
      <c r="N33" s="54"/>
      <c r="O33" s="54"/>
      <c r="P33" s="54"/>
      <c r="Q33" s="54"/>
    </row>
    <row r="34" spans="1:17" ht="12.75">
      <c r="A34" s="5"/>
      <c r="B34" s="13" t="s">
        <v>38</v>
      </c>
      <c r="C34" s="10"/>
      <c r="D34" s="5"/>
      <c r="E34" s="57">
        <f>SUM(E30:E33)</f>
        <v>185481.3</v>
      </c>
      <c r="F34" s="54">
        <f aca="true" t="shared" si="2" ref="F34:Q34">SUM(F30:F33)</f>
        <v>16713.9</v>
      </c>
      <c r="G34" s="54">
        <f t="shared" si="2"/>
        <v>32280.4</v>
      </c>
      <c r="H34" s="54">
        <f t="shared" si="2"/>
        <v>36487</v>
      </c>
      <c r="I34" s="54">
        <f t="shared" si="2"/>
        <v>35000</v>
      </c>
      <c r="J34" s="54">
        <f t="shared" si="2"/>
        <v>35000</v>
      </c>
      <c r="K34" s="54">
        <f t="shared" si="2"/>
        <v>0</v>
      </c>
      <c r="L34" s="54">
        <f t="shared" si="2"/>
        <v>30000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0</v>
      </c>
    </row>
    <row r="35" spans="1:17" ht="78.75">
      <c r="A35" s="5"/>
      <c r="B35" s="11" t="s">
        <v>39</v>
      </c>
      <c r="C35" s="10"/>
      <c r="D35" s="5"/>
      <c r="E35" s="53"/>
      <c r="F35" s="54"/>
      <c r="G35" s="54"/>
      <c r="H35" s="54"/>
      <c r="I35" s="54"/>
      <c r="J35" s="56"/>
      <c r="K35" s="56"/>
      <c r="L35" s="54"/>
      <c r="M35" s="54"/>
      <c r="N35" s="54"/>
      <c r="O35" s="54"/>
      <c r="P35" s="54"/>
      <c r="Q35" s="54"/>
    </row>
    <row r="36" spans="1:17" ht="12.75">
      <c r="A36" s="5" t="s">
        <v>0</v>
      </c>
      <c r="B36" s="10" t="s">
        <v>40</v>
      </c>
      <c r="C36" s="10" t="s">
        <v>41</v>
      </c>
      <c r="D36" s="5">
        <v>1</v>
      </c>
      <c r="E36" s="53">
        <v>214500</v>
      </c>
      <c r="F36" s="54"/>
      <c r="G36" s="54"/>
      <c r="H36" s="54"/>
      <c r="I36" s="54"/>
      <c r="J36" s="56"/>
      <c r="K36" s="56"/>
      <c r="L36" s="54"/>
      <c r="M36" s="54">
        <v>214500</v>
      </c>
      <c r="N36" s="54"/>
      <c r="O36" s="54"/>
      <c r="P36" s="54"/>
      <c r="Q36" s="54"/>
    </row>
    <row r="37" spans="1:17" ht="12.75">
      <c r="A37" s="5"/>
      <c r="B37" s="16" t="s">
        <v>44</v>
      </c>
      <c r="C37" s="16"/>
      <c r="D37" s="17"/>
      <c r="E37" s="57">
        <f>SUM(E36)</f>
        <v>214500</v>
      </c>
      <c r="F37" s="54">
        <f aca="true" t="shared" si="3" ref="F37:Q37">SUM(F36)</f>
        <v>0</v>
      </c>
      <c r="G37" s="54">
        <f t="shared" si="3"/>
        <v>0</v>
      </c>
      <c r="H37" s="54">
        <f t="shared" si="3"/>
        <v>0</v>
      </c>
      <c r="I37" s="54">
        <v>0</v>
      </c>
      <c r="J37" s="54">
        <f t="shared" si="3"/>
        <v>0</v>
      </c>
      <c r="K37" s="54">
        <f t="shared" si="3"/>
        <v>0</v>
      </c>
      <c r="L37" s="54">
        <f t="shared" si="3"/>
        <v>0</v>
      </c>
      <c r="M37" s="54">
        <v>214500</v>
      </c>
      <c r="N37" s="54">
        <v>0</v>
      </c>
      <c r="O37" s="54">
        <f t="shared" si="3"/>
        <v>0</v>
      </c>
      <c r="P37" s="54">
        <f t="shared" si="3"/>
        <v>0</v>
      </c>
      <c r="Q37" s="54">
        <f t="shared" si="3"/>
        <v>0</v>
      </c>
    </row>
    <row r="38" spans="1:17" ht="101.25">
      <c r="A38" s="5" t="s">
        <v>0</v>
      </c>
      <c r="B38" s="11" t="s">
        <v>42</v>
      </c>
      <c r="C38" s="10" t="s">
        <v>41</v>
      </c>
      <c r="D38" s="5">
        <v>1</v>
      </c>
      <c r="E38" s="53">
        <f>487999.09-450000</f>
        <v>37999.090000000026</v>
      </c>
      <c r="F38" s="54"/>
      <c r="G38" s="54">
        <v>17999.09</v>
      </c>
      <c r="H38" s="54">
        <v>20000</v>
      </c>
      <c r="I38" s="54"/>
      <c r="J38" s="56"/>
      <c r="K38" s="56"/>
      <c r="L38" s="54"/>
      <c r="M38" s="54"/>
      <c r="N38" s="54"/>
      <c r="O38" s="54"/>
      <c r="P38" s="54"/>
      <c r="Q38" s="54"/>
    </row>
    <row r="39" spans="1:17" ht="12.75">
      <c r="A39" s="5" t="s">
        <v>1</v>
      </c>
      <c r="B39" s="10" t="s">
        <v>43</v>
      </c>
      <c r="C39" s="10" t="s">
        <v>41</v>
      </c>
      <c r="D39" s="5">
        <v>1</v>
      </c>
      <c r="E39" s="53">
        <v>450000</v>
      </c>
      <c r="F39" s="54"/>
      <c r="G39" s="54"/>
      <c r="H39" s="54"/>
      <c r="I39" s="54"/>
      <c r="J39" s="56"/>
      <c r="K39" s="56"/>
      <c r="L39" s="54">
        <v>150000</v>
      </c>
      <c r="M39" s="54">
        <v>150000</v>
      </c>
      <c r="N39" s="54">
        <v>150000</v>
      </c>
      <c r="O39" s="54"/>
      <c r="P39" s="54"/>
      <c r="Q39" s="54"/>
    </row>
    <row r="40" spans="1:17" ht="12.75">
      <c r="A40" s="5"/>
      <c r="B40" s="16" t="s">
        <v>45</v>
      </c>
      <c r="C40" s="16"/>
      <c r="D40" s="17"/>
      <c r="E40" s="57">
        <f>SUM(E38:E39)</f>
        <v>487999.09</v>
      </c>
      <c r="F40" s="54">
        <v>0</v>
      </c>
      <c r="G40" s="54">
        <f aca="true" t="shared" si="4" ref="G40:Q40">SUM(G38:G39)</f>
        <v>17999.09</v>
      </c>
      <c r="H40" s="54">
        <v>20000</v>
      </c>
      <c r="I40" s="54">
        <f t="shared" si="4"/>
        <v>0</v>
      </c>
      <c r="J40" s="54">
        <f t="shared" si="4"/>
        <v>0</v>
      </c>
      <c r="K40" s="54">
        <f t="shared" si="4"/>
        <v>0</v>
      </c>
      <c r="L40" s="54">
        <f t="shared" si="4"/>
        <v>150000</v>
      </c>
      <c r="M40" s="54">
        <f t="shared" si="4"/>
        <v>150000</v>
      </c>
      <c r="N40" s="54">
        <f t="shared" si="4"/>
        <v>150000</v>
      </c>
      <c r="O40" s="54">
        <f t="shared" si="4"/>
        <v>0</v>
      </c>
      <c r="P40" s="54">
        <f t="shared" si="4"/>
        <v>0</v>
      </c>
      <c r="Q40" s="54">
        <f t="shared" si="4"/>
        <v>0</v>
      </c>
    </row>
    <row r="41" spans="1:17" ht="123.75">
      <c r="A41" s="5"/>
      <c r="B41" s="11" t="s">
        <v>46</v>
      </c>
      <c r="C41" s="10"/>
      <c r="D41" s="5"/>
      <c r="E41" s="53"/>
      <c r="F41" s="54"/>
      <c r="G41" s="54"/>
      <c r="H41" s="54"/>
      <c r="I41" s="54"/>
      <c r="J41" s="56"/>
      <c r="K41" s="56"/>
      <c r="L41" s="54"/>
      <c r="M41" s="54"/>
      <c r="N41" s="54"/>
      <c r="O41" s="54"/>
      <c r="P41" s="54"/>
      <c r="Q41" s="54"/>
    </row>
    <row r="42" spans="1:17" ht="12.75">
      <c r="A42" s="5" t="s">
        <v>0</v>
      </c>
      <c r="B42" s="10" t="s">
        <v>47</v>
      </c>
      <c r="C42" s="10" t="s">
        <v>18</v>
      </c>
      <c r="D42" s="5">
        <f>30+30</f>
        <v>60</v>
      </c>
      <c r="E42" s="53">
        <v>17268.4</v>
      </c>
      <c r="F42" s="54"/>
      <c r="G42" s="54">
        <v>17268.4</v>
      </c>
      <c r="H42" s="54"/>
      <c r="I42" s="54"/>
      <c r="J42" s="58"/>
      <c r="K42" s="58"/>
      <c r="L42" s="54"/>
      <c r="M42" s="54"/>
      <c r="N42" s="54"/>
      <c r="O42" s="54"/>
      <c r="P42" s="54"/>
      <c r="Q42" s="54"/>
    </row>
    <row r="43" spans="1:17" ht="12.75">
      <c r="A43" s="5"/>
      <c r="B43" s="19" t="s">
        <v>48</v>
      </c>
      <c r="C43" s="19"/>
      <c r="D43" s="20"/>
      <c r="E43" s="57">
        <f>SUM(E42)</f>
        <v>17268.4</v>
      </c>
      <c r="F43" s="54">
        <f aca="true" t="shared" si="5" ref="F43:Q43">SUM(F42)</f>
        <v>0</v>
      </c>
      <c r="G43" s="54">
        <f t="shared" si="5"/>
        <v>17268.4</v>
      </c>
      <c r="H43" s="54">
        <f t="shared" si="5"/>
        <v>0</v>
      </c>
      <c r="I43" s="54">
        <f t="shared" si="5"/>
        <v>0</v>
      </c>
      <c r="J43" s="54">
        <f t="shared" si="5"/>
        <v>0</v>
      </c>
      <c r="K43" s="54">
        <f t="shared" si="5"/>
        <v>0</v>
      </c>
      <c r="L43" s="54">
        <f t="shared" si="5"/>
        <v>0</v>
      </c>
      <c r="M43" s="54">
        <f t="shared" si="5"/>
        <v>0</v>
      </c>
      <c r="N43" s="54">
        <f t="shared" si="5"/>
        <v>0</v>
      </c>
      <c r="O43" s="54">
        <f t="shared" si="5"/>
        <v>0</v>
      </c>
      <c r="P43" s="54">
        <f t="shared" si="5"/>
        <v>0</v>
      </c>
      <c r="Q43" s="54">
        <f t="shared" si="5"/>
        <v>0</v>
      </c>
    </row>
    <row r="44" spans="1:17" ht="12.75">
      <c r="A44" s="5"/>
      <c r="B44" s="14" t="s">
        <v>49</v>
      </c>
      <c r="C44" s="14"/>
      <c r="D44" s="15"/>
      <c r="E44" s="53"/>
      <c r="F44" s="5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ht="12.75">
      <c r="A45" s="5" t="s">
        <v>0</v>
      </c>
      <c r="B45" s="10" t="s">
        <v>50</v>
      </c>
      <c r="C45" s="10" t="s">
        <v>25</v>
      </c>
      <c r="D45" s="15">
        <v>1</v>
      </c>
      <c r="E45" s="53">
        <v>4850</v>
      </c>
      <c r="F45" s="59"/>
      <c r="G45" s="54">
        <v>4850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2.75">
      <c r="A46" s="5"/>
      <c r="B46" s="16" t="s">
        <v>52</v>
      </c>
      <c r="C46" s="16"/>
      <c r="D46" s="20"/>
      <c r="E46" s="57">
        <f>SUM(E45)</f>
        <v>4850</v>
      </c>
      <c r="F46" s="54">
        <f aca="true" t="shared" si="6" ref="F46:Q46">SUM(F45)</f>
        <v>0</v>
      </c>
      <c r="G46" s="54">
        <f t="shared" si="6"/>
        <v>4850</v>
      </c>
      <c r="H46" s="54">
        <f t="shared" si="6"/>
        <v>0</v>
      </c>
      <c r="I46" s="54">
        <f t="shared" si="6"/>
        <v>0</v>
      </c>
      <c r="J46" s="54">
        <f t="shared" si="6"/>
        <v>0</v>
      </c>
      <c r="K46" s="54">
        <f t="shared" si="6"/>
        <v>0</v>
      </c>
      <c r="L46" s="54">
        <f t="shared" si="6"/>
        <v>0</v>
      </c>
      <c r="M46" s="54">
        <f t="shared" si="6"/>
        <v>0</v>
      </c>
      <c r="N46" s="54">
        <f t="shared" si="6"/>
        <v>0</v>
      </c>
      <c r="O46" s="54">
        <f t="shared" si="6"/>
        <v>0</v>
      </c>
      <c r="P46" s="54">
        <f t="shared" si="6"/>
        <v>0</v>
      </c>
      <c r="Q46" s="54">
        <f t="shared" si="6"/>
        <v>0</v>
      </c>
    </row>
    <row r="47" spans="1:17" ht="67.5">
      <c r="A47" s="5"/>
      <c r="B47" s="11" t="s">
        <v>51</v>
      </c>
      <c r="C47" s="10"/>
      <c r="D47" s="15"/>
      <c r="E47" s="53"/>
      <c r="F47" s="59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ht="12.75">
      <c r="A48" s="5" t="s">
        <v>0</v>
      </c>
      <c r="B48" s="10" t="s">
        <v>53</v>
      </c>
      <c r="C48" s="10" t="s">
        <v>25</v>
      </c>
      <c r="D48" s="15">
        <f>7</f>
        <v>7</v>
      </c>
      <c r="E48" s="53">
        <f>430</f>
        <v>430</v>
      </c>
      <c r="F48" s="65">
        <v>430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1:17" ht="12.75">
      <c r="A49" s="5" t="s">
        <v>1</v>
      </c>
      <c r="B49" s="10" t="s">
        <v>54</v>
      </c>
      <c r="C49" s="10" t="s">
        <v>25</v>
      </c>
      <c r="D49" s="15">
        <v>10</v>
      </c>
      <c r="E49" s="53">
        <v>700</v>
      </c>
      <c r="F49" s="65">
        <v>700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2.75">
      <c r="A50" s="5" t="s">
        <v>2</v>
      </c>
      <c r="B50" s="10" t="s">
        <v>55</v>
      </c>
      <c r="C50" s="10" t="s">
        <v>25</v>
      </c>
      <c r="D50" s="15">
        <v>25</v>
      </c>
      <c r="E50" s="53">
        <f>3630</f>
        <v>3630</v>
      </c>
      <c r="F50" s="65">
        <v>3630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1:17" ht="12.75">
      <c r="A51" s="5"/>
      <c r="B51" s="16" t="s">
        <v>56</v>
      </c>
      <c r="C51" s="10"/>
      <c r="D51" s="15"/>
      <c r="E51" s="57">
        <f>SUM(E48:E50)</f>
        <v>4760</v>
      </c>
      <c r="F51" s="54">
        <f aca="true" t="shared" si="7" ref="F51:Q51">SUM(F48:F50)</f>
        <v>4760</v>
      </c>
      <c r="G51" s="54">
        <f t="shared" si="7"/>
        <v>0</v>
      </c>
      <c r="H51" s="54">
        <f t="shared" si="7"/>
        <v>0</v>
      </c>
      <c r="I51" s="54">
        <f t="shared" si="7"/>
        <v>0</v>
      </c>
      <c r="J51" s="54">
        <f t="shared" si="7"/>
        <v>0</v>
      </c>
      <c r="K51" s="54">
        <f t="shared" si="7"/>
        <v>0</v>
      </c>
      <c r="L51" s="54">
        <f t="shared" si="7"/>
        <v>0</v>
      </c>
      <c r="M51" s="54">
        <f t="shared" si="7"/>
        <v>0</v>
      </c>
      <c r="N51" s="54">
        <f t="shared" si="7"/>
        <v>0</v>
      </c>
      <c r="O51" s="54">
        <f t="shared" si="7"/>
        <v>0</v>
      </c>
      <c r="P51" s="54">
        <f t="shared" si="7"/>
        <v>0</v>
      </c>
      <c r="Q51" s="54">
        <f t="shared" si="7"/>
        <v>0</v>
      </c>
    </row>
    <row r="52" spans="1:17" ht="78.75">
      <c r="A52" s="5"/>
      <c r="B52" s="11" t="s">
        <v>57</v>
      </c>
      <c r="C52" s="10"/>
      <c r="D52" s="15"/>
      <c r="E52" s="53"/>
      <c r="F52" s="59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2.75">
      <c r="A53" s="5" t="s">
        <v>0</v>
      </c>
      <c r="B53" s="10" t="s">
        <v>58</v>
      </c>
      <c r="C53" s="10" t="s">
        <v>25</v>
      </c>
      <c r="D53" s="15">
        <v>60</v>
      </c>
      <c r="E53" s="53">
        <f>68950</f>
        <v>68950</v>
      </c>
      <c r="F53" s="59"/>
      <c r="G53" s="54"/>
      <c r="H53" s="54"/>
      <c r="I53" s="54">
        <v>0</v>
      </c>
      <c r="J53" s="54"/>
      <c r="K53" s="54"/>
      <c r="L53" s="54"/>
      <c r="M53" s="54"/>
      <c r="N53" s="54"/>
      <c r="O53" s="54"/>
      <c r="P53" s="54"/>
      <c r="Q53" s="54"/>
    </row>
    <row r="54" spans="1:17" ht="12.75">
      <c r="A54" s="5"/>
      <c r="B54" s="16" t="s">
        <v>59</v>
      </c>
      <c r="C54" s="10"/>
      <c r="D54" s="15"/>
      <c r="E54" s="57">
        <f>SUM(E53)</f>
        <v>68950</v>
      </c>
      <c r="F54" s="54">
        <f aca="true" t="shared" si="8" ref="F54:Q54">SUM(F53)</f>
        <v>0</v>
      </c>
      <c r="G54" s="54">
        <f t="shared" si="8"/>
        <v>0</v>
      </c>
      <c r="H54" s="54">
        <f t="shared" si="8"/>
        <v>0</v>
      </c>
      <c r="I54" s="54">
        <f t="shared" si="8"/>
        <v>0</v>
      </c>
      <c r="J54" s="54">
        <f t="shared" si="8"/>
        <v>0</v>
      </c>
      <c r="K54" s="54">
        <f t="shared" si="8"/>
        <v>0</v>
      </c>
      <c r="L54" s="54">
        <v>20000</v>
      </c>
      <c r="M54" s="54">
        <v>20000</v>
      </c>
      <c r="N54" s="54">
        <v>28950</v>
      </c>
      <c r="O54" s="54">
        <f t="shared" si="8"/>
        <v>0</v>
      </c>
      <c r="P54" s="54">
        <f t="shared" si="8"/>
        <v>0</v>
      </c>
      <c r="Q54" s="54">
        <f t="shared" si="8"/>
        <v>0</v>
      </c>
    </row>
    <row r="55" spans="1:17" ht="12.75">
      <c r="A55" s="5"/>
      <c r="B55" s="10" t="s">
        <v>60</v>
      </c>
      <c r="C55" s="10"/>
      <c r="D55" s="15"/>
      <c r="E55" s="53"/>
      <c r="F55" s="59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67.5">
      <c r="A56" s="5" t="s">
        <v>0</v>
      </c>
      <c r="B56" s="11" t="s">
        <v>61</v>
      </c>
      <c r="C56" s="10" t="s">
        <v>25</v>
      </c>
      <c r="D56" s="15">
        <v>102</v>
      </c>
      <c r="E56" s="53">
        <v>8981</v>
      </c>
      <c r="F56" s="54">
        <v>8981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1:17" ht="12.75">
      <c r="A57" s="5" t="s">
        <v>1</v>
      </c>
      <c r="B57" s="10" t="s">
        <v>62</v>
      </c>
      <c r="C57" s="10" t="s">
        <v>25</v>
      </c>
      <c r="D57" s="15">
        <v>27</v>
      </c>
      <c r="E57" s="53">
        <f>4650+840+650</f>
        <v>6140</v>
      </c>
      <c r="F57" s="54">
        <v>6140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2.75">
      <c r="A58" s="5"/>
      <c r="B58" s="16" t="s">
        <v>63</v>
      </c>
      <c r="C58" s="16"/>
      <c r="D58" s="20"/>
      <c r="E58" s="57">
        <f>SUM(E56:E57)</f>
        <v>15121</v>
      </c>
      <c r="F58" s="54">
        <f aca="true" t="shared" si="9" ref="F58:Q58">SUM(F56:F57)</f>
        <v>15121</v>
      </c>
      <c r="G58" s="54">
        <f t="shared" si="9"/>
        <v>0</v>
      </c>
      <c r="H58" s="54">
        <f t="shared" si="9"/>
        <v>0</v>
      </c>
      <c r="I58" s="54">
        <f t="shared" si="9"/>
        <v>0</v>
      </c>
      <c r="J58" s="54">
        <f t="shared" si="9"/>
        <v>0</v>
      </c>
      <c r="K58" s="54">
        <f t="shared" si="9"/>
        <v>0</v>
      </c>
      <c r="L58" s="54">
        <f t="shared" si="9"/>
        <v>0</v>
      </c>
      <c r="M58" s="54">
        <f t="shared" si="9"/>
        <v>0</v>
      </c>
      <c r="N58" s="54">
        <f t="shared" si="9"/>
        <v>0</v>
      </c>
      <c r="O58" s="54">
        <f t="shared" si="9"/>
        <v>0</v>
      </c>
      <c r="P58" s="54">
        <f t="shared" si="9"/>
        <v>0</v>
      </c>
      <c r="Q58" s="54">
        <f t="shared" si="9"/>
        <v>0</v>
      </c>
    </row>
    <row r="59" spans="1:17" ht="12.75">
      <c r="A59" s="5"/>
      <c r="B59" s="22" t="s">
        <v>64</v>
      </c>
      <c r="C59" s="16"/>
      <c r="D59" s="20"/>
      <c r="E59" s="57"/>
      <c r="F59" s="59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ht="12.75">
      <c r="A60" s="5" t="s">
        <v>0</v>
      </c>
      <c r="B60" s="22" t="s">
        <v>65</v>
      </c>
      <c r="C60" s="22" t="s">
        <v>14</v>
      </c>
      <c r="D60" s="24">
        <v>2000</v>
      </c>
      <c r="E60" s="53">
        <v>2000</v>
      </c>
      <c r="F60" s="59"/>
      <c r="G60" s="54"/>
      <c r="H60" s="54"/>
      <c r="I60" s="54"/>
      <c r="J60" s="54"/>
      <c r="K60" s="54"/>
      <c r="L60" s="54"/>
      <c r="M60" s="54"/>
      <c r="N60" s="54"/>
      <c r="O60" s="54">
        <v>2000</v>
      </c>
      <c r="P60" s="54"/>
      <c r="Q60" s="54"/>
    </row>
    <row r="61" spans="1:17" ht="12.75">
      <c r="A61" s="5" t="s">
        <v>1</v>
      </c>
      <c r="B61" s="22" t="s">
        <v>66</v>
      </c>
      <c r="C61" s="22" t="s">
        <v>25</v>
      </c>
      <c r="D61" s="24">
        <f>9+1+5+9+1+1+1+3+5</f>
        <v>35</v>
      </c>
      <c r="E61" s="53">
        <v>21367</v>
      </c>
      <c r="F61" s="59"/>
      <c r="G61" s="54"/>
      <c r="H61" s="54"/>
      <c r="I61" s="54"/>
      <c r="J61" s="54"/>
      <c r="K61" s="54"/>
      <c r="L61" s="54"/>
      <c r="M61" s="54"/>
      <c r="N61" s="54"/>
      <c r="O61" s="54">
        <v>21367</v>
      </c>
      <c r="P61" s="54"/>
      <c r="Q61" s="54"/>
    </row>
    <row r="62" spans="1:17" ht="12.75">
      <c r="A62" s="5" t="s">
        <v>2</v>
      </c>
      <c r="B62" s="22" t="s">
        <v>67</v>
      </c>
      <c r="C62" s="22" t="s">
        <v>25</v>
      </c>
      <c r="D62" s="24">
        <f>136+34+20+411+176+366+36+212+124</f>
        <v>1515</v>
      </c>
      <c r="E62" s="53">
        <v>23577</v>
      </c>
      <c r="F62" s="59"/>
      <c r="G62" s="54"/>
      <c r="H62" s="54"/>
      <c r="I62" s="54"/>
      <c r="J62" s="54"/>
      <c r="K62" s="54"/>
      <c r="L62" s="54"/>
      <c r="M62" s="54"/>
      <c r="N62" s="54"/>
      <c r="O62" s="54">
        <v>13577</v>
      </c>
      <c r="P62" s="54">
        <v>10000</v>
      </c>
      <c r="Q62" s="54"/>
    </row>
    <row r="63" spans="1:17" ht="12.75">
      <c r="A63" s="5" t="s">
        <v>3</v>
      </c>
      <c r="B63" s="22" t="s">
        <v>68</v>
      </c>
      <c r="C63" s="22" t="s">
        <v>25</v>
      </c>
      <c r="D63" s="24">
        <f>692+437</f>
        <v>1129</v>
      </c>
      <c r="E63" s="53">
        <v>17336</v>
      </c>
      <c r="F63" s="59"/>
      <c r="G63" s="54"/>
      <c r="H63" s="54"/>
      <c r="I63" s="54"/>
      <c r="J63" s="54"/>
      <c r="K63" s="54"/>
      <c r="L63" s="54"/>
      <c r="M63" s="54"/>
      <c r="N63" s="54"/>
      <c r="O63" s="54">
        <v>17336</v>
      </c>
      <c r="P63" s="54"/>
      <c r="Q63" s="54"/>
    </row>
    <row r="64" spans="1:17" ht="12.75">
      <c r="A64" s="5" t="s">
        <v>4</v>
      </c>
      <c r="B64" s="22" t="s">
        <v>69</v>
      </c>
      <c r="C64" s="22" t="s">
        <v>25</v>
      </c>
      <c r="D64" s="24">
        <f>2535+1295</f>
        <v>3830</v>
      </c>
      <c r="E64" s="53">
        <f>21767.5</f>
        <v>21767.5</v>
      </c>
      <c r="F64" s="59"/>
      <c r="G64" s="54"/>
      <c r="H64" s="54"/>
      <c r="I64" s="54"/>
      <c r="J64" s="54"/>
      <c r="K64" s="54"/>
      <c r="L64" s="54"/>
      <c r="M64" s="54"/>
      <c r="N64" s="54"/>
      <c r="O64" s="54">
        <v>11767.5</v>
      </c>
      <c r="P64" s="54">
        <v>10000</v>
      </c>
      <c r="Q64" s="54"/>
    </row>
    <row r="65" spans="1:17" ht="12.75">
      <c r="A65" s="5" t="s">
        <v>5</v>
      </c>
      <c r="B65" s="22" t="s">
        <v>70</v>
      </c>
      <c r="C65" s="22" t="s">
        <v>25</v>
      </c>
      <c r="D65" s="24">
        <f>62+57+51+38</f>
        <v>208</v>
      </c>
      <c r="E65" s="53">
        <v>4933</v>
      </c>
      <c r="F65" s="59"/>
      <c r="G65" s="54"/>
      <c r="H65" s="54"/>
      <c r="I65" s="54"/>
      <c r="J65" s="54"/>
      <c r="K65" s="54"/>
      <c r="L65" s="54"/>
      <c r="M65" s="54"/>
      <c r="N65" s="54"/>
      <c r="O65" s="54">
        <v>4933</v>
      </c>
      <c r="P65" s="54"/>
      <c r="Q65" s="54"/>
    </row>
    <row r="66" spans="1:17" ht="12.75">
      <c r="A66" s="5" t="s">
        <v>6</v>
      </c>
      <c r="B66" s="22" t="s">
        <v>71</v>
      </c>
      <c r="C66" s="22" t="s">
        <v>25</v>
      </c>
      <c r="D66" s="24">
        <f>4+4+6</f>
        <v>14</v>
      </c>
      <c r="E66" s="53">
        <v>210</v>
      </c>
      <c r="F66" s="59"/>
      <c r="G66" s="54"/>
      <c r="H66" s="54"/>
      <c r="I66" s="54"/>
      <c r="J66" s="54"/>
      <c r="K66" s="54"/>
      <c r="L66" s="54"/>
      <c r="M66" s="54"/>
      <c r="N66" s="54"/>
      <c r="O66" s="54">
        <v>210</v>
      </c>
      <c r="P66" s="54"/>
      <c r="Q66" s="54"/>
    </row>
    <row r="67" spans="1:17" ht="12.75">
      <c r="A67" s="5" t="s">
        <v>7</v>
      </c>
      <c r="B67" s="22" t="s">
        <v>72</v>
      </c>
      <c r="C67" s="22" t="s">
        <v>14</v>
      </c>
      <c r="D67" s="24">
        <f>1425</f>
        <v>1425</v>
      </c>
      <c r="E67" s="53">
        <v>7125</v>
      </c>
      <c r="F67" s="59"/>
      <c r="G67" s="54"/>
      <c r="H67" s="54"/>
      <c r="I67" s="54"/>
      <c r="J67" s="54"/>
      <c r="K67" s="54"/>
      <c r="L67" s="54"/>
      <c r="M67" s="54"/>
      <c r="N67" s="54"/>
      <c r="O67" s="54"/>
      <c r="P67" s="54">
        <v>7125</v>
      </c>
      <c r="Q67" s="54"/>
    </row>
    <row r="68" spans="1:17" ht="12.75">
      <c r="A68" s="5" t="s">
        <v>8</v>
      </c>
      <c r="B68" s="23" t="s">
        <v>73</v>
      </c>
      <c r="C68" s="23" t="s">
        <v>25</v>
      </c>
      <c r="D68" s="24">
        <f>4</f>
        <v>4</v>
      </c>
      <c r="E68" s="53">
        <v>40</v>
      </c>
      <c r="F68" s="54"/>
      <c r="G68" s="54"/>
      <c r="H68" s="54"/>
      <c r="I68" s="54"/>
      <c r="J68" s="54"/>
      <c r="K68" s="54"/>
      <c r="L68" s="54"/>
      <c r="M68" s="54"/>
      <c r="N68" s="54"/>
      <c r="O68" s="54">
        <v>40</v>
      </c>
      <c r="P68" s="54"/>
      <c r="Q68" s="54"/>
    </row>
    <row r="69" spans="1:17" ht="12.75">
      <c r="A69" s="5" t="s">
        <v>9</v>
      </c>
      <c r="B69" s="22" t="s">
        <v>74</v>
      </c>
      <c r="C69" s="22" t="s">
        <v>16</v>
      </c>
      <c r="D69" s="8">
        <f>173+98</f>
        <v>271</v>
      </c>
      <c r="E69" s="53">
        <v>17585</v>
      </c>
      <c r="F69" s="59"/>
      <c r="G69" s="54"/>
      <c r="H69" s="54"/>
      <c r="I69" s="54"/>
      <c r="J69" s="54"/>
      <c r="K69" s="54"/>
      <c r="L69" s="54"/>
      <c r="M69" s="54"/>
      <c r="N69" s="54"/>
      <c r="O69" s="54"/>
      <c r="P69" s="54">
        <v>17585</v>
      </c>
      <c r="Q69" s="54"/>
    </row>
    <row r="70" spans="1:17" ht="12.75">
      <c r="A70" s="5" t="s">
        <v>10</v>
      </c>
      <c r="B70" s="23" t="s">
        <v>75</v>
      </c>
      <c r="C70" s="23" t="s">
        <v>25</v>
      </c>
      <c r="D70" s="24">
        <f>10+1379+136+1129+208+14+222</f>
        <v>3098</v>
      </c>
      <c r="E70" s="53">
        <v>30497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v>0</v>
      </c>
      <c r="P70" s="54"/>
      <c r="Q70" s="54">
        <v>30497</v>
      </c>
    </row>
    <row r="71" spans="1:17" ht="12.75">
      <c r="A71" s="2"/>
      <c r="B71" s="21" t="s">
        <v>76</v>
      </c>
      <c r="C71" s="21"/>
      <c r="D71" s="18"/>
      <c r="E71" s="57">
        <f>SUM(E60:E70)</f>
        <v>146437.5</v>
      </c>
      <c r="F71" s="54">
        <f aca="true" t="shared" si="10" ref="F71:Q71">SUM(F60:F70)</f>
        <v>0</v>
      </c>
      <c r="G71" s="54">
        <f t="shared" si="10"/>
        <v>0</v>
      </c>
      <c r="H71" s="54">
        <f t="shared" si="10"/>
        <v>0</v>
      </c>
      <c r="I71" s="54">
        <f t="shared" si="10"/>
        <v>0</v>
      </c>
      <c r="J71" s="54">
        <f t="shared" si="10"/>
        <v>0</v>
      </c>
      <c r="K71" s="54">
        <f t="shared" si="10"/>
        <v>0</v>
      </c>
      <c r="L71" s="54">
        <f t="shared" si="10"/>
        <v>0</v>
      </c>
      <c r="M71" s="54">
        <f t="shared" si="10"/>
        <v>0</v>
      </c>
      <c r="N71" s="54">
        <f t="shared" si="10"/>
        <v>0</v>
      </c>
      <c r="O71" s="54">
        <f t="shared" si="10"/>
        <v>71230.5</v>
      </c>
      <c r="P71" s="54">
        <f t="shared" si="10"/>
        <v>44710</v>
      </c>
      <c r="Q71" s="54">
        <f t="shared" si="10"/>
        <v>30497</v>
      </c>
    </row>
    <row r="72" spans="1:17" ht="12.75">
      <c r="A72" s="2"/>
      <c r="B72" s="2"/>
      <c r="C72" s="2"/>
      <c r="D72" s="1"/>
      <c r="E72" s="60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ht="12.75">
      <c r="A73" s="2"/>
      <c r="B73" s="21" t="s">
        <v>100</v>
      </c>
      <c r="C73" s="21"/>
      <c r="D73" s="18"/>
      <c r="E73" s="61">
        <f>E24+E28+E34+E37+E40+E43+E46+E51+E54+E58+E71</f>
        <v>2712142.4899999998</v>
      </c>
      <c r="F73" s="62">
        <f aca="true" t="shared" si="11" ref="F73:Q73">F24+F28+F34+F37+F40+F43+F46+F51+F54+F58+F71</f>
        <v>99953.9</v>
      </c>
      <c r="G73" s="62">
        <f t="shared" si="11"/>
        <v>237913.09</v>
      </c>
      <c r="H73" s="62">
        <f t="shared" si="11"/>
        <v>459589</v>
      </c>
      <c r="I73" s="62">
        <f t="shared" si="11"/>
        <v>473170</v>
      </c>
      <c r="J73" s="62">
        <f t="shared" si="11"/>
        <v>327890.20999999996</v>
      </c>
      <c r="K73" s="62">
        <f t="shared" si="11"/>
        <v>27500</v>
      </c>
      <c r="L73" s="62">
        <f t="shared" si="11"/>
        <v>376238.79000000004</v>
      </c>
      <c r="M73" s="62">
        <f t="shared" si="11"/>
        <v>384500</v>
      </c>
      <c r="N73" s="62">
        <v>178950</v>
      </c>
      <c r="O73" s="62">
        <f t="shared" si="11"/>
        <v>71230.5</v>
      </c>
      <c r="P73" s="62">
        <f t="shared" si="11"/>
        <v>44710</v>
      </c>
      <c r="Q73" s="62">
        <f t="shared" si="11"/>
        <v>30497</v>
      </c>
    </row>
    <row r="74" spans="1:17" ht="12.75">
      <c r="A74" s="2"/>
      <c r="B74" s="21" t="s">
        <v>77</v>
      </c>
      <c r="C74" s="21"/>
      <c r="D74" s="52"/>
      <c r="E74" s="57">
        <f>E73*23%</f>
        <v>623792.7727</v>
      </c>
      <c r="F74" s="62">
        <f aca="true" t="shared" si="12" ref="F74:Q74">F73*23%</f>
        <v>22989.397</v>
      </c>
      <c r="G74" s="62">
        <f t="shared" si="12"/>
        <v>54720.0107</v>
      </c>
      <c r="H74" s="62">
        <f t="shared" si="12"/>
        <v>105705.47</v>
      </c>
      <c r="I74" s="62">
        <f t="shared" si="12"/>
        <v>108829.1</v>
      </c>
      <c r="J74" s="62">
        <f t="shared" si="12"/>
        <v>75414.74829999999</v>
      </c>
      <c r="K74" s="62">
        <f t="shared" si="12"/>
        <v>6325</v>
      </c>
      <c r="L74" s="62">
        <f t="shared" si="12"/>
        <v>86534.9217</v>
      </c>
      <c r="M74" s="62">
        <f t="shared" si="12"/>
        <v>88435</v>
      </c>
      <c r="N74" s="62">
        <f t="shared" si="12"/>
        <v>41158.5</v>
      </c>
      <c r="O74" s="62">
        <f t="shared" si="12"/>
        <v>16383.015000000001</v>
      </c>
      <c r="P74" s="62">
        <f t="shared" si="12"/>
        <v>10283.300000000001</v>
      </c>
      <c r="Q74" s="62">
        <f t="shared" si="12"/>
        <v>7014.31</v>
      </c>
    </row>
    <row r="75" spans="2:17" ht="12.75">
      <c r="B75" s="21" t="s">
        <v>101</v>
      </c>
      <c r="C75" s="21"/>
      <c r="D75" s="2"/>
      <c r="E75" s="57">
        <f>SUM(E73:E74)</f>
        <v>3335935.2627</v>
      </c>
      <c r="F75" s="62">
        <f aca="true" t="shared" si="13" ref="F75:Q75">SUM(F73:F74)</f>
        <v>122943.29699999999</v>
      </c>
      <c r="G75" s="62">
        <f t="shared" si="13"/>
        <v>292633.1007</v>
      </c>
      <c r="H75" s="62">
        <f t="shared" si="13"/>
        <v>565294.47</v>
      </c>
      <c r="I75" s="62">
        <f t="shared" si="13"/>
        <v>581999.1</v>
      </c>
      <c r="J75" s="62">
        <f t="shared" si="13"/>
        <v>403304.95829999994</v>
      </c>
      <c r="K75" s="62">
        <f t="shared" si="13"/>
        <v>33825</v>
      </c>
      <c r="L75" s="62">
        <f t="shared" si="13"/>
        <v>462773.71170000004</v>
      </c>
      <c r="M75" s="62">
        <f t="shared" si="13"/>
        <v>472935</v>
      </c>
      <c r="N75" s="62">
        <f t="shared" si="13"/>
        <v>220108.5</v>
      </c>
      <c r="O75" s="62">
        <f t="shared" si="13"/>
        <v>87613.515</v>
      </c>
      <c r="P75" s="62">
        <f t="shared" si="13"/>
        <v>54993.3</v>
      </c>
      <c r="Q75" s="62">
        <f t="shared" si="13"/>
        <v>37511.31</v>
      </c>
    </row>
  </sheetData>
  <sheetProtection/>
  <mergeCells count="1">
    <mergeCell ref="A7:Q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Jarosław Winiarski</cp:lastModifiedBy>
  <cp:lastPrinted>2014-02-28T07:21:45Z</cp:lastPrinted>
  <dcterms:created xsi:type="dcterms:W3CDTF">2011-05-27T10:04:20Z</dcterms:created>
  <dcterms:modified xsi:type="dcterms:W3CDTF">2018-09-20T06:56:13Z</dcterms:modified>
  <cp:category/>
  <cp:version/>
  <cp:contentType/>
  <cp:contentStatus/>
</cp:coreProperties>
</file>