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R:\FINANS\archiwum\BUDŻET\SPRAWOZDANIA 2018\SPR_ZA_I_PÓŁ_2018_ROKU\"/>
    </mc:Choice>
  </mc:AlternateContent>
  <xr:revisionPtr revIDLastSave="0" documentId="10_ncr:8100000_{41EBC43E-480D-4D72-8000-9E576F730FBC}" xr6:coauthVersionLast="34" xr6:coauthVersionMax="34" xr10:uidLastSave="{00000000-0000-0000-0000-000000000000}"/>
  <bookViews>
    <workbookView xWindow="240" yWindow="672" windowWidth="20112" windowHeight="6888" tabRatio="604" xr2:uid="{00000000-000D-0000-FFFF-FFFF00000000}"/>
  </bookViews>
  <sheets>
    <sheet name="Objaśnienia 2018" sheetId="1" r:id="rId1"/>
  </sheets>
  <externalReferences>
    <externalReference r:id="rId2"/>
    <externalReference r:id="rId3"/>
    <externalReference r:id="rId4"/>
  </externalReferences>
  <definedNames>
    <definedName name="beata">[1]Dochody!#REF!</definedName>
    <definedName name="beata_3">[2]Dochody!#REF!</definedName>
    <definedName name="beata_4">[2]Dochody!#REF!</definedName>
    <definedName name="beata_6">[2]Dochody!#REF!</definedName>
    <definedName name="BIUL_DOCH_">#REF!</definedName>
    <definedName name="BIUL_DOCH__3">[2]Dochody!#REF!</definedName>
    <definedName name="BIUL_DOCH__4">[2]Dochody!#REF!</definedName>
    <definedName name="BIUL_DOCH__6">[2]Dochody!#REF!</definedName>
    <definedName name="BIUL_DOCHODY">#REF!</definedName>
    <definedName name="BIUL_DOCHODY_3">[2]Dochody!#REF!</definedName>
    <definedName name="BIUL_DOCHODY_4">[2]Dochody!#REF!</definedName>
    <definedName name="BIUL_DOCHODY_6">[2]Dochody!#REF!</definedName>
    <definedName name="BIUL_WYD_">#REF!</definedName>
    <definedName name="BIUL_WYDATKI">#REF!</definedName>
    <definedName name="DOCHODY">#REF!</definedName>
    <definedName name="DOCHODY_BEZ_TYT">#REF!</definedName>
    <definedName name="DOCHODY_DZIAŁY">#REF!</definedName>
    <definedName name="DOCHODY_DZIAŁY_3">[2]Dochody!#REF!</definedName>
    <definedName name="DOCHODY_DZIAŁY_4">[2]Dochody!#REF!</definedName>
    <definedName name="DOCHODY_DZIAŁY_6">[2]Dochody!#REF!</definedName>
    <definedName name="INFORMACJA_00">#REF!</definedName>
    <definedName name="mmmmmmmmmmmm">[3]Dochody!#REF!</definedName>
    <definedName name="renata">[1]Dochody!$A$3:$D$115</definedName>
    <definedName name="renata_3">[2]Dochody!$A$3:$D$115</definedName>
    <definedName name="renata_4">[2]Dochody!$A$3:$D$115</definedName>
    <definedName name="renata_6">[2]Dochody!$A$3:$D$115</definedName>
    <definedName name="rrr">[1]Dochody!$A$1:$D$115</definedName>
    <definedName name="rrr_3">[2]Dochody!$A$1:$D$115</definedName>
    <definedName name="rrr_4">[2]Dochody!$A$1:$D$115</definedName>
    <definedName name="rrr_6">[2]Dochody!$A$1:$D$115</definedName>
    <definedName name="rrrrrr">[1]Dochody!#REF!</definedName>
    <definedName name="rrrrrr_3">[2]Dochody!#REF!</definedName>
    <definedName name="rrrrrr_4">[2]Dochody!#REF!</definedName>
    <definedName name="rrrrrr_6">[2]Dochody!#REF!</definedName>
    <definedName name="_xlnm.Print_Titles" localSheetId="0">'Objaśnienia 2018'!$1:$2</definedName>
    <definedName name="WYDATKI_BEZ_TYT">#REF!</definedName>
    <definedName name="WYDATKI_DZIAŁY">#REF!</definedName>
    <definedName name="WYDRUK_WYDATKI">#REF!</definedName>
  </definedNames>
  <calcPr calcId="162913"/>
  <fileRecoveryPr autoRecover="0"/>
</workbook>
</file>

<file path=xl/calcChain.xml><?xml version="1.0" encoding="utf-8"?>
<calcChain xmlns="http://schemas.openxmlformats.org/spreadsheetml/2006/main">
  <c r="M215" i="1" l="1"/>
  <c r="L215" i="1"/>
  <c r="N1831" i="1"/>
  <c r="M1831" i="1"/>
  <c r="O143" i="1" l="1"/>
  <c r="O144" i="1"/>
  <c r="O145" i="1"/>
  <c r="O146" i="1"/>
  <c r="O142" i="1"/>
  <c r="O136" i="1"/>
  <c r="O137" i="1"/>
  <c r="O138" i="1"/>
  <c r="O139" i="1"/>
  <c r="O135" i="1"/>
  <c r="N133" i="1"/>
  <c r="N140" i="1"/>
  <c r="O1834" i="1" l="1"/>
  <c r="O1835" i="1"/>
  <c r="O1836" i="1"/>
  <c r="O1833" i="1"/>
  <c r="O1832" i="1"/>
  <c r="M1635" i="1" l="1"/>
  <c r="N1635" i="1"/>
  <c r="O1635" i="1" s="1"/>
  <c r="L199" i="1"/>
  <c r="N1823" i="1"/>
  <c r="N1811" i="1"/>
  <c r="N1804" i="1"/>
  <c r="N1675" i="1"/>
  <c r="N1728" i="1"/>
  <c r="O1730" i="1"/>
  <c r="O1729" i="1"/>
  <c r="O1709" i="1"/>
  <c r="M1708" i="1"/>
  <c r="N1708" i="1"/>
  <c r="L1708" i="1"/>
  <c r="M1675" i="1"/>
  <c r="O1639" i="1"/>
  <c r="O1638" i="1"/>
  <c r="O1637" i="1"/>
  <c r="O1636" i="1"/>
  <c r="M1542" i="1"/>
  <c r="N1542" i="1"/>
  <c r="O1543" i="1"/>
  <c r="M1489" i="1"/>
  <c r="N1489" i="1"/>
  <c r="N1423" i="1"/>
  <c r="N1404" i="1"/>
  <c r="M1404" i="1"/>
  <c r="M1400" i="1"/>
  <c r="N1400" i="1"/>
  <c r="N1393" i="1"/>
  <c r="N1392" i="1" s="1"/>
  <c r="O1395" i="1"/>
  <c r="O1396" i="1"/>
  <c r="O1397" i="1"/>
  <c r="O1394" i="1"/>
  <c r="O1391" i="1"/>
  <c r="O1345" i="1"/>
  <c r="N1186" i="1"/>
  <c r="O1186" i="1" s="1"/>
  <c r="N1167" i="1"/>
  <c r="M1166" i="1"/>
  <c r="L1166" i="1"/>
  <c r="M1209" i="1"/>
  <c r="M1123" i="1"/>
  <c r="M1079" i="1"/>
  <c r="M1036" i="1"/>
  <c r="M1035" i="1" s="1"/>
  <c r="O1256" i="1"/>
  <c r="O1255" i="1"/>
  <c r="O1254" i="1"/>
  <c r="O1253" i="1"/>
  <c r="O1252" i="1"/>
  <c r="M991" i="1"/>
  <c r="L991" i="1"/>
  <c r="N760" i="1"/>
  <c r="O759" i="1"/>
  <c r="M673" i="1"/>
  <c r="L673" i="1"/>
  <c r="O668" i="1"/>
  <c r="O667" i="1"/>
  <c r="O666" i="1"/>
  <c r="O665" i="1"/>
  <c r="O664" i="1"/>
  <c r="O486" i="1"/>
  <c r="O399" i="1"/>
  <c r="O398" i="1"/>
  <c r="O396" i="1"/>
  <c r="O395" i="1"/>
  <c r="N298" i="1"/>
  <c r="N297" i="1" s="1"/>
  <c r="O299" i="1"/>
  <c r="N253" i="1"/>
  <c r="N252" i="1" s="1"/>
  <c r="N132" i="1"/>
  <c r="O1828" i="1"/>
  <c r="O1825" i="1"/>
  <c r="O1824" i="1"/>
  <c r="O1820" i="1"/>
  <c r="O1819" i="1"/>
  <c r="O1815" i="1"/>
  <c r="O1813" i="1"/>
  <c r="O1812" i="1"/>
  <c r="N1802" i="1"/>
  <c r="O1803" i="1"/>
  <c r="N1785" i="1"/>
  <c r="N1784" i="1" s="1"/>
  <c r="O1788" i="1"/>
  <c r="O1787" i="1"/>
  <c r="O1458" i="1"/>
  <c r="M1452" i="1"/>
  <c r="M1429" i="1" s="1"/>
  <c r="N1452" i="1"/>
  <c r="L1452" i="1"/>
  <c r="O1450" i="1"/>
  <c r="O1447" i="1"/>
  <c r="O1430" i="1"/>
  <c r="O1427" i="1"/>
  <c r="O1425" i="1"/>
  <c r="M1122" i="1" l="1"/>
  <c r="M1034" i="1" s="1"/>
  <c r="O1452" i="1"/>
  <c r="O1542" i="1"/>
  <c r="O1404" i="1"/>
  <c r="N1398" i="1"/>
  <c r="O1489" i="1"/>
  <c r="O1708" i="1"/>
  <c r="O1400" i="1"/>
  <c r="N1822" i="1"/>
  <c r="N1429" i="1"/>
  <c r="N1422" i="1" s="1"/>
  <c r="N1166" i="1"/>
  <c r="O1166" i="1" s="1"/>
  <c r="O1429" i="1" l="1"/>
  <c r="N1769" i="1"/>
  <c r="O1771" i="1"/>
  <c r="O1767" i="1"/>
  <c r="O1765" i="1"/>
  <c r="O1763" i="1"/>
  <c r="O1762" i="1"/>
  <c r="O1760" i="1"/>
  <c r="N1752" i="1"/>
  <c r="O1753" i="1"/>
  <c r="N1749" i="1"/>
  <c r="O1749" i="1" s="1"/>
  <c r="O1748" i="1"/>
  <c r="O1744" i="1"/>
  <c r="N1738" i="1"/>
  <c r="O1741" i="1"/>
  <c r="O1739" i="1"/>
  <c r="N1732" i="1"/>
  <c r="N115" i="1"/>
  <c r="O116" i="1"/>
  <c r="N61" i="1"/>
  <c r="O61" i="1" s="1"/>
  <c r="N60" i="1"/>
  <c r="O52" i="1"/>
  <c r="O18" i="1"/>
  <c r="O16" i="1"/>
  <c r="O14" i="1"/>
  <c r="O12" i="1"/>
  <c r="O1769" i="1" l="1"/>
  <c r="N11" i="1"/>
  <c r="N10" i="1" s="1"/>
  <c r="N1743" i="1"/>
  <c r="N1499" i="1"/>
  <c r="O1502" i="1"/>
  <c r="O1500" i="1"/>
  <c r="O124" i="1"/>
  <c r="O120" i="1"/>
  <c r="O118" i="1"/>
  <c r="N112" i="1"/>
  <c r="O113" i="1"/>
  <c r="N107" i="1"/>
  <c r="O110" i="1"/>
  <c r="N100" i="1"/>
  <c r="N76" i="1"/>
  <c r="O76" i="1" s="1"/>
  <c r="M75" i="1"/>
  <c r="O98" i="1"/>
  <c r="O96" i="1"/>
  <c r="O90" i="1"/>
  <c r="O86" i="1"/>
  <c r="O84" i="1"/>
  <c r="O80" i="1"/>
  <c r="O78" i="1"/>
  <c r="N106" i="1" l="1"/>
  <c r="N75" i="1"/>
  <c r="O1808" i="1"/>
  <c r="O1420" i="1"/>
  <c r="O1417" i="1"/>
  <c r="O72" i="1"/>
  <c r="O68" i="1"/>
  <c r="O62" i="1"/>
  <c r="O20" i="1"/>
  <c r="O75" i="1" l="1"/>
  <c r="N74" i="1"/>
  <c r="M1723" i="1"/>
  <c r="O1723" i="1" s="1"/>
  <c r="O1727" i="1"/>
  <c r="O1726" i="1"/>
  <c r="N1724" i="1"/>
  <c r="M1724" i="1"/>
  <c r="L1724" i="1"/>
  <c r="F1724" i="1"/>
  <c r="O1722" i="1"/>
  <c r="N1720" i="1"/>
  <c r="L1720" i="1"/>
  <c r="K1720" i="1"/>
  <c r="J1720" i="1"/>
  <c r="I1720" i="1"/>
  <c r="H1720" i="1"/>
  <c r="G1720" i="1"/>
  <c r="F1720" i="1"/>
  <c r="M1712" i="1"/>
  <c r="N1712" i="1"/>
  <c r="L1712" i="1"/>
  <c r="O1718" i="1"/>
  <c r="O1717" i="1"/>
  <c r="O1715" i="1"/>
  <c r="O1714" i="1"/>
  <c r="O1713" i="1"/>
  <c r="O1710" i="1"/>
  <c r="O1707" i="1"/>
  <c r="O1706" i="1"/>
  <c r="N1704" i="1"/>
  <c r="N1703" i="1" s="1"/>
  <c r="M1704" i="1"/>
  <c r="M1703" i="1" s="1"/>
  <c r="L1704" i="1"/>
  <c r="L1703" i="1" s="1"/>
  <c r="K1704" i="1"/>
  <c r="J1704" i="1"/>
  <c r="I1704" i="1"/>
  <c r="H1704" i="1"/>
  <c r="G1704" i="1"/>
  <c r="F1704" i="1"/>
  <c r="M1697" i="1"/>
  <c r="M1694" i="1" s="1"/>
  <c r="N1674" i="1"/>
  <c r="M1674" i="1"/>
  <c r="M1670" i="1" s="1"/>
  <c r="L1674" i="1"/>
  <c r="L1670" i="1" s="1"/>
  <c r="O1702" i="1"/>
  <c r="O1701" i="1"/>
  <c r="O1700" i="1"/>
  <c r="O1698" i="1"/>
  <c r="O1697" i="1"/>
  <c r="O1696" i="1"/>
  <c r="N1694" i="1"/>
  <c r="L1694" i="1"/>
  <c r="F1694" i="1"/>
  <c r="O1675" i="1"/>
  <c r="K1675" i="1"/>
  <c r="J1675" i="1"/>
  <c r="I1675" i="1"/>
  <c r="H1675" i="1"/>
  <c r="G1675" i="1"/>
  <c r="O1673" i="1"/>
  <c r="O1672" i="1"/>
  <c r="K1670" i="1"/>
  <c r="J1670" i="1"/>
  <c r="I1670" i="1"/>
  <c r="H1670" i="1"/>
  <c r="G1670" i="1"/>
  <c r="F1670" i="1"/>
  <c r="M1659" i="1"/>
  <c r="N1659" i="1"/>
  <c r="L1659" i="1"/>
  <c r="O1667" i="1"/>
  <c r="O1666" i="1"/>
  <c r="O1664" i="1"/>
  <c r="O1663" i="1"/>
  <c r="O1662" i="1"/>
  <c r="O1661" i="1"/>
  <c r="F1659" i="1"/>
  <c r="O1658" i="1"/>
  <c r="N1656" i="1"/>
  <c r="M1656" i="1"/>
  <c r="L1656" i="1"/>
  <c r="K1656" i="1"/>
  <c r="J1656" i="1"/>
  <c r="I1656" i="1"/>
  <c r="H1656" i="1"/>
  <c r="G1656" i="1"/>
  <c r="O1655" i="1"/>
  <c r="N1654" i="1"/>
  <c r="N1650" i="1" s="1"/>
  <c r="M1654" i="1"/>
  <c r="L1654" i="1"/>
  <c r="L1650" i="1" s="1"/>
  <c r="O1653" i="1"/>
  <c r="O1652" i="1"/>
  <c r="K1650" i="1"/>
  <c r="J1650" i="1"/>
  <c r="I1650" i="1"/>
  <c r="H1650" i="1"/>
  <c r="G1650" i="1"/>
  <c r="F1650" i="1"/>
  <c r="O1545" i="1"/>
  <c r="N1539" i="1"/>
  <c r="M1539" i="1"/>
  <c r="O1541" i="1"/>
  <c r="O1540" i="1"/>
  <c r="N1649" i="1" l="1"/>
  <c r="N1648" i="1" s="1"/>
  <c r="L1649" i="1"/>
  <c r="M1669" i="1"/>
  <c r="M1668" i="1" s="1"/>
  <c r="L1719" i="1"/>
  <c r="L1711" i="1" s="1"/>
  <c r="O1654" i="1"/>
  <c r="M1720" i="1"/>
  <c r="M1719" i="1" s="1"/>
  <c r="M1711" i="1" s="1"/>
  <c r="N1719" i="1"/>
  <c r="N1711" i="1" s="1"/>
  <c r="O1712" i="1"/>
  <c r="L1669" i="1"/>
  <c r="L1668" i="1" s="1"/>
  <c r="O1703" i="1"/>
  <c r="O1674" i="1"/>
  <c r="O1724" i="1"/>
  <c r="O1704" i="1"/>
  <c r="O1539" i="1"/>
  <c r="N1670" i="1"/>
  <c r="N1669" i="1" s="1"/>
  <c r="N1668" i="1" s="1"/>
  <c r="N1647" i="1" s="1"/>
  <c r="O1694" i="1"/>
  <c r="O1656" i="1"/>
  <c r="O1659" i="1"/>
  <c r="M1650" i="1"/>
  <c r="M1649" i="1" s="1"/>
  <c r="M1648" i="1" s="1"/>
  <c r="L1648" i="1" l="1"/>
  <c r="O1720" i="1"/>
  <c r="O1719" i="1"/>
  <c r="O1711" i="1"/>
  <c r="O1670" i="1"/>
  <c r="O1669" i="1"/>
  <c r="O1650" i="1"/>
  <c r="O1668" i="1" l="1"/>
  <c r="O1648" i="1"/>
  <c r="O1649" i="1"/>
  <c r="O1538" i="1" l="1"/>
  <c r="O1537" i="1"/>
  <c r="O1536" i="1"/>
  <c r="O1534" i="1"/>
  <c r="O1533" i="1"/>
  <c r="O1532" i="1"/>
  <c r="O1531" i="1"/>
  <c r="O1530" i="1"/>
  <c r="O1529" i="1"/>
  <c r="O1528" i="1"/>
  <c r="N1527" i="1"/>
  <c r="M1527" i="1"/>
  <c r="L1527" i="1"/>
  <c r="F1527" i="1"/>
  <c r="O1526" i="1"/>
  <c r="O1525" i="1"/>
  <c r="O1524" i="1"/>
  <c r="O1523" i="1"/>
  <c r="N1522" i="1"/>
  <c r="M1522" i="1"/>
  <c r="L1522" i="1"/>
  <c r="L1521" i="1" s="1"/>
  <c r="K1522" i="1"/>
  <c r="J1522" i="1"/>
  <c r="I1522" i="1"/>
  <c r="H1522" i="1"/>
  <c r="G1522" i="1"/>
  <c r="F1522" i="1"/>
  <c r="N1511" i="1"/>
  <c r="M1511" i="1"/>
  <c r="M1508" i="1" s="1"/>
  <c r="L1511" i="1"/>
  <c r="O1520" i="1"/>
  <c r="O1519" i="1"/>
  <c r="O1518" i="1"/>
  <c r="O1517" i="1"/>
  <c r="O1515" i="1"/>
  <c r="O1514" i="1"/>
  <c r="O1513" i="1"/>
  <c r="N1512" i="1"/>
  <c r="M1512" i="1"/>
  <c r="L1512" i="1"/>
  <c r="F1512" i="1"/>
  <c r="L1508" i="1"/>
  <c r="O1510" i="1"/>
  <c r="O1509" i="1"/>
  <c r="K1508" i="1"/>
  <c r="J1508" i="1"/>
  <c r="I1508" i="1"/>
  <c r="H1508" i="1"/>
  <c r="G1508" i="1"/>
  <c r="F1508" i="1"/>
  <c r="N1504" i="1"/>
  <c r="M1504" i="1"/>
  <c r="O1505" i="1"/>
  <c r="N1494" i="1"/>
  <c r="N1492" i="1" s="1"/>
  <c r="M1494" i="1"/>
  <c r="O1498" i="1"/>
  <c r="O1493" i="1"/>
  <c r="O1491" i="1"/>
  <c r="O1490" i="1"/>
  <c r="N1487" i="1"/>
  <c r="M1487" i="1"/>
  <c r="O1488" i="1"/>
  <c r="O1434" i="1"/>
  <c r="O1433" i="1"/>
  <c r="N1642" i="1"/>
  <c r="N1641" i="1" s="1"/>
  <c r="N1640" i="1" s="1"/>
  <c r="M1642" i="1"/>
  <c r="M1641" i="1" s="1"/>
  <c r="M1640" i="1" s="1"/>
  <c r="L1642" i="1"/>
  <c r="L1641" i="1" s="1"/>
  <c r="K1641" i="1"/>
  <c r="J1641" i="1"/>
  <c r="I1641" i="1"/>
  <c r="H1641" i="1"/>
  <c r="G1641" i="1"/>
  <c r="F1641" i="1"/>
  <c r="K1640" i="1"/>
  <c r="J1640" i="1"/>
  <c r="I1640" i="1"/>
  <c r="H1640" i="1"/>
  <c r="G1640" i="1"/>
  <c r="F1640" i="1"/>
  <c r="M1393" i="1"/>
  <c r="O763" i="1"/>
  <c r="M214" i="1"/>
  <c r="L214" i="1"/>
  <c r="N224" i="1"/>
  <c r="O224" i="1" s="1"/>
  <c r="N216" i="1"/>
  <c r="M1592" i="1"/>
  <c r="L1592" i="1"/>
  <c r="N1612" i="1"/>
  <c r="O1612" i="1" s="1"/>
  <c r="N1593" i="1"/>
  <c r="O1593" i="1" s="1"/>
  <c r="O1457" i="1"/>
  <c r="O1403" i="1"/>
  <c r="O1414" i="1"/>
  <c r="O1408" i="1"/>
  <c r="M1348" i="1"/>
  <c r="M1347" i="1" s="1"/>
  <c r="M1346" i="1" s="1"/>
  <c r="L1348" i="1"/>
  <c r="L1347" i="1" s="1"/>
  <c r="N1368" i="1"/>
  <c r="O1368" i="1" s="1"/>
  <c r="N1349" i="1"/>
  <c r="O1349" i="1" s="1"/>
  <c r="M1302" i="1"/>
  <c r="L1302" i="1"/>
  <c r="N1322" i="1"/>
  <c r="O1322" i="1" s="1"/>
  <c r="N1303" i="1"/>
  <c r="N1099" i="1"/>
  <c r="O1099" i="1" s="1"/>
  <c r="N1080" i="1"/>
  <c r="L1079" i="1"/>
  <c r="M818" i="1"/>
  <c r="L818" i="1"/>
  <c r="N838" i="1"/>
  <c r="O838" i="1" s="1"/>
  <c r="N819" i="1"/>
  <c r="O819" i="1" s="1"/>
  <c r="N765" i="1"/>
  <c r="M765" i="1"/>
  <c r="O767" i="1"/>
  <c r="O762" i="1"/>
  <c r="M716" i="1"/>
  <c r="M672" i="1" s="1"/>
  <c r="M671" i="1" s="1"/>
  <c r="L716" i="1"/>
  <c r="L672" i="1" s="1"/>
  <c r="N736" i="1"/>
  <c r="O736" i="1" s="1"/>
  <c r="N717" i="1"/>
  <c r="O717" i="1" s="1"/>
  <c r="M443" i="1"/>
  <c r="L443" i="1"/>
  <c r="N463" i="1"/>
  <c r="O463" i="1" s="1"/>
  <c r="N444" i="1"/>
  <c r="O444" i="1" s="1"/>
  <c r="M393" i="1"/>
  <c r="M351" i="1" s="1"/>
  <c r="N393" i="1"/>
  <c r="L393" i="1"/>
  <c r="L351" i="1" s="1"/>
  <c r="O394" i="1"/>
  <c r="N371" i="1"/>
  <c r="O371" i="1" s="1"/>
  <c r="N352" i="1"/>
  <c r="O352" i="1" s="1"/>
  <c r="O216" i="1" l="1"/>
  <c r="N215" i="1"/>
  <c r="N1079" i="1"/>
  <c r="N1521" i="1"/>
  <c r="M1392" i="1"/>
  <c r="O1392" i="1" s="1"/>
  <c r="O1393" i="1"/>
  <c r="M1521" i="1"/>
  <c r="L1507" i="1"/>
  <c r="O1504" i="1"/>
  <c r="O1511" i="1"/>
  <c r="M1507" i="1"/>
  <c r="M1506" i="1" s="1"/>
  <c r="N1508" i="1"/>
  <c r="N1507" i="1" s="1"/>
  <c r="O1527" i="1"/>
  <c r="O1522" i="1"/>
  <c r="O1487" i="1"/>
  <c r="O1494" i="1"/>
  <c r="O1512" i="1"/>
  <c r="O1641" i="1"/>
  <c r="N214" i="1"/>
  <c r="O214" i="1" s="1"/>
  <c r="O1642" i="1"/>
  <c r="N1302" i="1"/>
  <c r="O1302" i="1" s="1"/>
  <c r="N1592" i="1"/>
  <c r="O1592" i="1" s="1"/>
  <c r="O765" i="1"/>
  <c r="N1348" i="1"/>
  <c r="O393" i="1"/>
  <c r="O1303" i="1"/>
  <c r="O1079" i="1"/>
  <c r="N818" i="1"/>
  <c r="O818" i="1" s="1"/>
  <c r="N716" i="1"/>
  <c r="O716" i="1" s="1"/>
  <c r="N443" i="1"/>
  <c r="O443" i="1" s="1"/>
  <c r="N351" i="1"/>
  <c r="O351" i="1" s="1"/>
  <c r="O1521" i="1" l="1"/>
  <c r="O1348" i="1"/>
  <c r="N1347" i="1"/>
  <c r="O1640" i="1"/>
  <c r="O1508" i="1"/>
  <c r="N1506" i="1"/>
  <c r="O1506" i="1" s="1"/>
  <c r="O1507" i="1"/>
  <c r="O215" i="1"/>
  <c r="O1347" i="1" l="1"/>
  <c r="N1346" i="1"/>
  <c r="O1346" i="1" s="1"/>
  <c r="M1779" i="1"/>
  <c r="N1779" i="1"/>
  <c r="L1779" i="1"/>
  <c r="O1780" i="1"/>
  <c r="M1549" i="1"/>
  <c r="M1548" i="1" s="1"/>
  <c r="M1547" i="1" s="1"/>
  <c r="M1546" i="1" s="1"/>
  <c r="L1549" i="1"/>
  <c r="L1548" i="1" s="1"/>
  <c r="L1547" i="1" s="1"/>
  <c r="N1569" i="1"/>
  <c r="O1569" i="1" s="1"/>
  <c r="N1550" i="1"/>
  <c r="O1550" i="1" s="1"/>
  <c r="O1455" i="1"/>
  <c r="O1456" i="1"/>
  <c r="O1413" i="1"/>
  <c r="O1407" i="1"/>
  <c r="O1402" i="1"/>
  <c r="O1399" i="1"/>
  <c r="N1279" i="1"/>
  <c r="O1279" i="1" s="1"/>
  <c r="N1260" i="1"/>
  <c r="M1259" i="1"/>
  <c r="M1258" i="1" s="1"/>
  <c r="M1257" i="1" s="1"/>
  <c r="L1259" i="1"/>
  <c r="L1258" i="1" s="1"/>
  <c r="L1036" i="1"/>
  <c r="L1035" i="1" s="1"/>
  <c r="N1056" i="1"/>
  <c r="O1056" i="1" s="1"/>
  <c r="N1037" i="1"/>
  <c r="M775" i="1"/>
  <c r="M774" i="1" s="1"/>
  <c r="L775" i="1"/>
  <c r="L774" i="1" s="1"/>
  <c r="N795" i="1"/>
  <c r="O795" i="1" s="1"/>
  <c r="N776" i="1"/>
  <c r="O776" i="1" s="1"/>
  <c r="O766" i="1"/>
  <c r="O761" i="1"/>
  <c r="N693" i="1"/>
  <c r="O693" i="1" s="1"/>
  <c r="N674" i="1"/>
  <c r="M400" i="1"/>
  <c r="M397" i="1" s="1"/>
  <c r="L400" i="1"/>
  <c r="N1759" i="1" l="1"/>
  <c r="S1761" i="1" s="1"/>
  <c r="O1037" i="1"/>
  <c r="N1036" i="1"/>
  <c r="N1035" i="1" s="1"/>
  <c r="O674" i="1"/>
  <c r="N673" i="1"/>
  <c r="O1779" i="1"/>
  <c r="N1549" i="1"/>
  <c r="N1259" i="1"/>
  <c r="O1260" i="1"/>
  <c r="N775" i="1"/>
  <c r="O1259" i="1" l="1"/>
  <c r="N1258" i="1"/>
  <c r="N1731" i="1"/>
  <c r="O1549" i="1"/>
  <c r="N1548" i="1"/>
  <c r="O1035" i="1"/>
  <c r="O1036" i="1"/>
  <c r="O775" i="1"/>
  <c r="N774" i="1"/>
  <c r="N672" i="1"/>
  <c r="O673" i="1"/>
  <c r="N420" i="1"/>
  <c r="O420" i="1" s="1"/>
  <c r="N401" i="1"/>
  <c r="N349" i="1"/>
  <c r="M349" i="1"/>
  <c r="M307" i="1" s="1"/>
  <c r="M306" i="1" s="1"/>
  <c r="M305" i="1" s="1"/>
  <c r="L349" i="1"/>
  <c r="L307" i="1" s="1"/>
  <c r="L306" i="1" s="1"/>
  <c r="N327" i="1"/>
  <c r="O327" i="1" s="1"/>
  <c r="N308" i="1"/>
  <c r="L1209" i="1"/>
  <c r="N1229" i="1"/>
  <c r="O1229" i="1" s="1"/>
  <c r="N1210" i="1"/>
  <c r="N1011" i="1"/>
  <c r="O1011" i="1" s="1"/>
  <c r="N992" i="1"/>
  <c r="N768" i="1"/>
  <c r="N764" i="1" s="1"/>
  <c r="M768" i="1"/>
  <c r="M764" i="1" s="1"/>
  <c r="O772" i="1"/>
  <c r="L621" i="1"/>
  <c r="M621" i="1"/>
  <c r="N641" i="1"/>
  <c r="O641" i="1" s="1"/>
  <c r="N622" i="1"/>
  <c r="M948" i="1"/>
  <c r="L948" i="1"/>
  <c r="N968" i="1"/>
  <c r="O968" i="1" s="1"/>
  <c r="N949" i="1"/>
  <c r="O949" i="1" s="1"/>
  <c r="O771" i="1"/>
  <c r="M578" i="1"/>
  <c r="L578" i="1"/>
  <c r="N598" i="1"/>
  <c r="O598" i="1" s="1"/>
  <c r="N579" i="1"/>
  <c r="O579" i="1" s="1"/>
  <c r="N991" i="1" l="1"/>
  <c r="O991" i="1" s="1"/>
  <c r="N1547" i="1"/>
  <c r="O1548" i="1"/>
  <c r="O1258" i="1"/>
  <c r="N1257" i="1"/>
  <c r="O1257" i="1" s="1"/>
  <c r="O1210" i="1"/>
  <c r="N1209" i="1"/>
  <c r="O1209" i="1" s="1"/>
  <c r="O774" i="1"/>
  <c r="N671" i="1"/>
  <c r="O671" i="1" s="1"/>
  <c r="O672" i="1"/>
  <c r="O308" i="1"/>
  <c r="N307" i="1"/>
  <c r="N306" i="1" s="1"/>
  <c r="O764" i="1"/>
  <c r="O401" i="1"/>
  <c r="N400" i="1"/>
  <c r="O349" i="1"/>
  <c r="O768" i="1"/>
  <c r="O992" i="1"/>
  <c r="N621" i="1"/>
  <c r="O621" i="1" s="1"/>
  <c r="N948" i="1"/>
  <c r="O948" i="1" s="1"/>
  <c r="N578" i="1"/>
  <c r="O578" i="1" s="1"/>
  <c r="O307" i="1" l="1"/>
  <c r="O1547" i="1"/>
  <c r="N1546" i="1"/>
  <c r="O1546" i="1" s="1"/>
  <c r="O400" i="1"/>
  <c r="N397" i="1"/>
  <c r="O397" i="1" s="1"/>
  <c r="O306" i="1"/>
  <c r="N305" i="1"/>
  <c r="O305" i="1" l="1"/>
  <c r="M905" i="1"/>
  <c r="L905" i="1"/>
  <c r="N925" i="1"/>
  <c r="O925" i="1" s="1"/>
  <c r="N906" i="1"/>
  <c r="O906" i="1" s="1"/>
  <c r="O770" i="1"/>
  <c r="M576" i="1"/>
  <c r="N576" i="1"/>
  <c r="L576" i="1"/>
  <c r="N535" i="1"/>
  <c r="N905" i="1" l="1"/>
  <c r="O905" i="1" s="1"/>
  <c r="O1781" i="1"/>
  <c r="O1454" i="1"/>
  <c r="L1123" i="1"/>
  <c r="L1122" i="1" s="1"/>
  <c r="N1143" i="1"/>
  <c r="O1143" i="1" s="1"/>
  <c r="N1124" i="1"/>
  <c r="M862" i="1"/>
  <c r="M861" i="1" s="1"/>
  <c r="M773" i="1" s="1"/>
  <c r="L862" i="1"/>
  <c r="L861" i="1" s="1"/>
  <c r="L773" i="1" s="1"/>
  <c r="N882" i="1"/>
  <c r="O882" i="1" s="1"/>
  <c r="N863" i="1"/>
  <c r="O863" i="1" s="1"/>
  <c r="O769" i="1"/>
  <c r="M490" i="1"/>
  <c r="L490" i="1"/>
  <c r="N510" i="1"/>
  <c r="O510" i="1" s="1"/>
  <c r="N554" i="1"/>
  <c r="O554" i="1" s="1"/>
  <c r="O535" i="1"/>
  <c r="M534" i="1"/>
  <c r="L534" i="1"/>
  <c r="N491" i="1"/>
  <c r="O491" i="1" s="1"/>
  <c r="M489" i="1" l="1"/>
  <c r="M488" i="1" s="1"/>
  <c r="O1124" i="1"/>
  <c r="N1123" i="1"/>
  <c r="N1122" i="1" s="1"/>
  <c r="L489" i="1"/>
  <c r="N862" i="1"/>
  <c r="N490" i="1"/>
  <c r="N534" i="1"/>
  <c r="O534" i="1" s="1"/>
  <c r="M1484" i="1"/>
  <c r="M1471" i="1" s="1"/>
  <c r="O1483" i="1"/>
  <c r="O1482" i="1"/>
  <c r="O1481" i="1"/>
  <c r="O1480" i="1"/>
  <c r="O1479" i="1"/>
  <c r="O1478" i="1"/>
  <c r="O1477" i="1"/>
  <c r="O1475" i="1"/>
  <c r="O1474" i="1"/>
  <c r="O1473" i="1"/>
  <c r="O1472" i="1"/>
  <c r="N1471" i="1"/>
  <c r="L1471" i="1"/>
  <c r="F1471" i="1"/>
  <c r="O1470" i="1"/>
  <c r="O1468" i="1"/>
  <c r="O1467" i="1"/>
  <c r="O1464" i="1"/>
  <c r="N1463" i="1"/>
  <c r="M1463" i="1"/>
  <c r="L1463" i="1"/>
  <c r="K1463" i="1"/>
  <c r="J1463" i="1"/>
  <c r="I1463" i="1"/>
  <c r="H1463" i="1"/>
  <c r="G1463" i="1"/>
  <c r="F1463" i="1"/>
  <c r="O1123" i="1" l="1"/>
  <c r="O1122" i="1"/>
  <c r="N1034" i="1"/>
  <c r="O1034" i="1" s="1"/>
  <c r="N489" i="1"/>
  <c r="N488" i="1" s="1"/>
  <c r="O862" i="1"/>
  <c r="N861" i="1"/>
  <c r="O490" i="1"/>
  <c r="O1484" i="1"/>
  <c r="L1462" i="1"/>
  <c r="M1462" i="1"/>
  <c r="M1461" i="1" s="1"/>
  <c r="N1462" i="1"/>
  <c r="N1461" i="1" s="1"/>
  <c r="N1460" i="1" s="1"/>
  <c r="O1471" i="1"/>
  <c r="O1463" i="1"/>
  <c r="N239" i="1"/>
  <c r="O239" i="1" s="1"/>
  <c r="N250" i="1"/>
  <c r="O250" i="1" s="1"/>
  <c r="O251" i="1"/>
  <c r="N208" i="1"/>
  <c r="O213" i="1"/>
  <c r="O209" i="1"/>
  <c r="M165" i="1"/>
  <c r="O165" i="1" s="1"/>
  <c r="N199" i="1"/>
  <c r="N201" i="1"/>
  <c r="O201" i="1" s="1"/>
  <c r="O207" i="1"/>
  <c r="O206" i="1"/>
  <c r="O205" i="1"/>
  <c r="O204" i="1"/>
  <c r="O203" i="1"/>
  <c r="O202" i="1"/>
  <c r="O1544" i="1"/>
  <c r="O1412" i="1"/>
  <c r="O200" i="1"/>
  <c r="N170" i="1"/>
  <c r="N161" i="1"/>
  <c r="O164" i="1"/>
  <c r="O166" i="1"/>
  <c r="O167" i="1"/>
  <c r="O168" i="1"/>
  <c r="N129" i="1"/>
  <c r="N128" i="1" s="1"/>
  <c r="O130" i="1"/>
  <c r="O488" i="1" l="1"/>
  <c r="O861" i="1"/>
  <c r="N773" i="1"/>
  <c r="O773" i="1" s="1"/>
  <c r="O489" i="1"/>
  <c r="O1461" i="1"/>
  <c r="O1462" i="1"/>
  <c r="N240" i="1"/>
  <c r="N238" i="1" s="1"/>
  <c r="N169" i="1"/>
  <c r="N160" i="1" s="1"/>
  <c r="N159" i="1" s="1"/>
  <c r="O247" i="1"/>
  <c r="N7" i="1"/>
  <c r="O8" i="1"/>
  <c r="N4" i="1"/>
  <c r="O5" i="1"/>
  <c r="O1733" i="1"/>
  <c r="N304" i="1" l="1"/>
  <c r="O240" i="1"/>
  <c r="N3" i="1"/>
  <c r="O249" i="1"/>
  <c r="N293" i="1"/>
  <c r="O294" i="1"/>
  <c r="N289" i="1"/>
  <c r="O288" i="1"/>
  <c r="O284" i="1"/>
  <c r="O283" i="1"/>
  <c r="N276" i="1"/>
  <c r="O279" i="1"/>
  <c r="O280" i="1"/>
  <c r="O281" i="1"/>
  <c r="O282" i="1"/>
  <c r="O278" i="1"/>
  <c r="N149" i="1"/>
  <c r="N131" i="1" s="1"/>
  <c r="O150" i="1"/>
  <c r="O151" i="1"/>
  <c r="O152" i="1"/>
  <c r="O153" i="1"/>
  <c r="O158" i="1"/>
  <c r="N256" i="1"/>
  <c r="N275" i="1" l="1"/>
  <c r="O289" i="1"/>
  <c r="N255" i="1"/>
  <c r="N266" i="1" l="1"/>
  <c r="N262" i="1" s="1"/>
  <c r="N1830" i="1" s="1"/>
  <c r="O267" i="1"/>
  <c r="M199" i="1" l="1"/>
  <c r="O199" i="1" s="1"/>
  <c r="M170" i="1" l="1"/>
  <c r="O170" i="1" s="1"/>
  <c r="M163" i="1"/>
  <c r="O163" i="1" s="1"/>
  <c r="M60" i="1"/>
  <c r="O60" i="1" s="1"/>
  <c r="M103" i="1"/>
  <c r="M100" i="1" l="1"/>
  <c r="O100" i="1" s="1"/>
  <c r="O103" i="1"/>
  <c r="M1823" i="1"/>
  <c r="M1811" i="1"/>
  <c r="O1811" i="1" s="1"/>
  <c r="M1804" i="1"/>
  <c r="O1804" i="1" s="1"/>
  <c r="M1802" i="1"/>
  <c r="O1802" i="1" s="1"/>
  <c r="M1743" i="1"/>
  <c r="O1743" i="1" s="1"/>
  <c r="M1738" i="1"/>
  <c r="O1738" i="1" s="1"/>
  <c r="M1728" i="1"/>
  <c r="K1708" i="1"/>
  <c r="J1708" i="1"/>
  <c r="I1708" i="1"/>
  <c r="H1708" i="1"/>
  <c r="G1708" i="1"/>
  <c r="F1708" i="1"/>
  <c r="M1499" i="1"/>
  <c r="O1499" i="1" s="1"/>
  <c r="M1423" i="1"/>
  <c r="M1822" i="1" l="1"/>
  <c r="O1822" i="1" s="1"/>
  <c r="O1823" i="1"/>
  <c r="O1423" i="1"/>
  <c r="M1422" i="1"/>
  <c r="O1422" i="1" s="1"/>
  <c r="O1728" i="1"/>
  <c r="M1647" i="1"/>
  <c r="O1647" i="1" s="1"/>
  <c r="M301" i="1"/>
  <c r="M300" i="1" s="1"/>
  <c r="M298" i="1"/>
  <c r="M290" i="1"/>
  <c r="M276" i="1"/>
  <c r="L276" i="1"/>
  <c r="K276" i="1"/>
  <c r="M272" i="1"/>
  <c r="M266" i="1"/>
  <c r="O266" i="1" s="1"/>
  <c r="M263" i="1"/>
  <c r="M256" i="1"/>
  <c r="M238" i="1"/>
  <c r="O238" i="1" s="1"/>
  <c r="M246" i="1"/>
  <c r="O246" i="1" s="1"/>
  <c r="M242" i="1"/>
  <c r="O242" i="1" s="1"/>
  <c r="M208" i="1"/>
  <c r="O208" i="1" s="1"/>
  <c r="M161" i="1"/>
  <c r="O161" i="1" s="1"/>
  <c r="L161" i="1"/>
  <c r="M149" i="1"/>
  <c r="O149" i="1" s="1"/>
  <c r="J147" i="1"/>
  <c r="I147" i="1"/>
  <c r="H147" i="1"/>
  <c r="G147" i="1"/>
  <c r="F147" i="1"/>
  <c r="M140" i="1"/>
  <c r="O140" i="1" s="1"/>
  <c r="M133" i="1"/>
  <c r="O133" i="1" s="1"/>
  <c r="M129" i="1"/>
  <c r="M115" i="1"/>
  <c r="O115" i="1" s="1"/>
  <c r="M112" i="1"/>
  <c r="O112" i="1" s="1"/>
  <c r="M107" i="1"/>
  <c r="O107" i="1" s="1"/>
  <c r="M11" i="1"/>
  <c r="M4" i="1"/>
  <c r="O4" i="1" s="1"/>
  <c r="L7" i="1"/>
  <c r="K8" i="1"/>
  <c r="M7" i="1"/>
  <c r="O7" i="1" s="1"/>
  <c r="K7" i="1"/>
  <c r="J7" i="1"/>
  <c r="I7" i="1"/>
  <c r="H7" i="1"/>
  <c r="G7" i="1"/>
  <c r="F7" i="1"/>
  <c r="M297" i="1" l="1"/>
  <c r="O297" i="1" s="1"/>
  <c r="O298" i="1"/>
  <c r="M10" i="1"/>
  <c r="O10" i="1" s="1"/>
  <c r="O11" i="1"/>
  <c r="M128" i="1"/>
  <c r="O128" i="1" s="1"/>
  <c r="O129" i="1"/>
  <c r="M275" i="1"/>
  <c r="O275" i="1" s="1"/>
  <c r="O276" i="1"/>
  <c r="M255" i="1"/>
  <c r="O256" i="1"/>
  <c r="M106" i="1"/>
  <c r="O106" i="1" s="1"/>
  <c r="M132" i="1"/>
  <c r="O132" i="1" s="1"/>
  <c r="M74" i="1"/>
  <c r="O74" i="1" s="1"/>
  <c r="M3" i="1"/>
  <c r="O3" i="1" s="1"/>
  <c r="K299" i="1" l="1"/>
  <c r="K291" i="1"/>
  <c r="K284" i="1"/>
  <c r="K285" i="1"/>
  <c r="K1788" i="1"/>
  <c r="H1808" i="1" l="1"/>
  <c r="K1808" i="1" l="1"/>
  <c r="K302" i="1"/>
  <c r="K5" i="1"/>
  <c r="K66" i="1"/>
  <c r="K11" i="1" s="1"/>
  <c r="L72" i="1"/>
  <c r="L56" i="1"/>
  <c r="K1485" i="1" l="1"/>
  <c r="J1785" i="1"/>
  <c r="I1785" i="1"/>
  <c r="H1785" i="1"/>
  <c r="G1785" i="1"/>
  <c r="F1785" i="1"/>
  <c r="K1785" i="1"/>
  <c r="K1417" i="1"/>
  <c r="J11" i="1"/>
  <c r="I11" i="1"/>
  <c r="H11" i="1"/>
  <c r="G11" i="1"/>
  <c r="F11" i="1"/>
  <c r="L70" i="1"/>
  <c r="K1804" i="1"/>
  <c r="J1804" i="1"/>
  <c r="I1804" i="1"/>
  <c r="H1804" i="1"/>
  <c r="G1804" i="1"/>
  <c r="F1804" i="1"/>
  <c r="L1798" i="1"/>
  <c r="L1775" i="1"/>
  <c r="K1732" i="1"/>
  <c r="J1732" i="1"/>
  <c r="I1732" i="1"/>
  <c r="H1732" i="1"/>
  <c r="G1732" i="1"/>
  <c r="F1732" i="1"/>
  <c r="L1785" i="1" l="1"/>
  <c r="L1732" i="1"/>
  <c r="K1592" i="1"/>
  <c r="K1549" i="1"/>
  <c r="K1302" i="1" l="1"/>
  <c r="K1035" i="1"/>
  <c r="K307" i="1"/>
  <c r="K263" i="1"/>
  <c r="J263" i="1"/>
  <c r="I263" i="1"/>
  <c r="H263" i="1"/>
  <c r="G263" i="1"/>
  <c r="F263" i="1"/>
  <c r="J266" i="1"/>
  <c r="I266" i="1"/>
  <c r="H266" i="1"/>
  <c r="G266" i="1"/>
  <c r="F266" i="1"/>
  <c r="K267" i="1"/>
  <c r="K215" i="1"/>
  <c r="K266" i="1" l="1"/>
  <c r="L266" i="1" s="1"/>
  <c r="L263" i="1"/>
  <c r="K113" i="1"/>
  <c r="K1743" i="1"/>
  <c r="L1750" i="1"/>
  <c r="K112" i="1" l="1"/>
  <c r="L94" i="1"/>
  <c r="G140" i="1" l="1"/>
  <c r="H140" i="1"/>
  <c r="I140" i="1"/>
  <c r="I132" i="1" s="1"/>
  <c r="J140" i="1"/>
  <c r="J132" i="1" s="1"/>
  <c r="K140" i="1"/>
  <c r="F140" i="1"/>
  <c r="H132" i="1" l="1"/>
  <c r="G132" i="1"/>
  <c r="L140" i="1"/>
  <c r="L206" i="1"/>
  <c r="K303" i="1"/>
  <c r="K1836" i="1" l="1"/>
  <c r="L1836" i="1" l="1"/>
  <c r="K1752" i="1"/>
  <c r="L1755" i="1"/>
  <c r="M1755" i="1" s="1"/>
  <c r="L48" i="1"/>
  <c r="K1834" i="1"/>
  <c r="G1823" i="1"/>
  <c r="G1822" i="1" s="1"/>
  <c r="H1823" i="1"/>
  <c r="H1822" i="1" s="1"/>
  <c r="I1823" i="1"/>
  <c r="I1822" i="1" s="1"/>
  <c r="J1823" i="1"/>
  <c r="J1822" i="1" s="1"/>
  <c r="K1823" i="1"/>
  <c r="K1822" i="1" s="1"/>
  <c r="F1823" i="1"/>
  <c r="F1822" i="1" s="1"/>
  <c r="G1635" i="1"/>
  <c r="H1635" i="1"/>
  <c r="I1635" i="1"/>
  <c r="J1635" i="1"/>
  <c r="K1635" i="1"/>
  <c r="F1635" i="1"/>
  <c r="K1548" i="1"/>
  <c r="G1429" i="1"/>
  <c r="H1429" i="1"/>
  <c r="I1429" i="1"/>
  <c r="J1429" i="1"/>
  <c r="F1429" i="1"/>
  <c r="G1398" i="1"/>
  <c r="G1392" i="1" s="1"/>
  <c r="I1398" i="1"/>
  <c r="I1392" i="1" s="1"/>
  <c r="J1398" i="1"/>
  <c r="J1392" i="1" s="1"/>
  <c r="F1398" i="1"/>
  <c r="F1392" i="1" s="1"/>
  <c r="K1258" i="1"/>
  <c r="G760" i="1"/>
  <c r="H760" i="1"/>
  <c r="I760" i="1"/>
  <c r="J760" i="1"/>
  <c r="K760" i="1"/>
  <c r="F760" i="1"/>
  <c r="G293" i="1"/>
  <c r="H293" i="1"/>
  <c r="I293" i="1"/>
  <c r="J293" i="1"/>
  <c r="K293" i="1"/>
  <c r="F293" i="1"/>
  <c r="K100" i="1"/>
  <c r="M1752" i="1" l="1"/>
  <c r="O1752" i="1" s="1"/>
  <c r="O1755" i="1"/>
  <c r="K1831" i="1"/>
  <c r="K1257" i="1"/>
  <c r="L264" i="1"/>
  <c r="L146" i="1"/>
  <c r="L145" i="1"/>
  <c r="L144" i="1"/>
  <c r="L143" i="1"/>
  <c r="L46" i="1"/>
  <c r="L24" i="1"/>
  <c r="L44" i="1"/>
  <c r="L1817" i="1"/>
  <c r="L142" i="1" l="1"/>
  <c r="K1779" i="1"/>
  <c r="G1759" i="1" l="1"/>
  <c r="H1759" i="1"/>
  <c r="I1759" i="1"/>
  <c r="J1759" i="1"/>
  <c r="F1759" i="1"/>
  <c r="K1759" i="1"/>
  <c r="L1746" i="1"/>
  <c r="L42" i="1"/>
  <c r="L40" i="1"/>
  <c r="L38" i="1"/>
  <c r="L32" i="1"/>
  <c r="L30" i="1"/>
  <c r="L26" i="1"/>
  <c r="K209" i="1" l="1"/>
  <c r="L210" i="1"/>
  <c r="L198" i="1"/>
  <c r="M198" i="1" s="1"/>
  <c r="L1391" i="1"/>
  <c r="L1346" i="1" s="1"/>
  <c r="L1256" i="1"/>
  <c r="L1345" i="1"/>
  <c r="L1257" i="1" s="1"/>
  <c r="L1639" i="1"/>
  <c r="L1255" i="1"/>
  <c r="L666" i="1"/>
  <c r="L1254" i="1"/>
  <c r="L1638" i="1"/>
  <c r="G1728" i="1"/>
  <c r="H1728" i="1"/>
  <c r="I1728" i="1"/>
  <c r="J1728" i="1"/>
  <c r="K1728" i="1"/>
  <c r="F1728" i="1"/>
  <c r="L1730" i="1"/>
  <c r="L1729" i="1"/>
  <c r="L1637" i="1"/>
  <c r="L1636" i="1"/>
  <c r="L665" i="1"/>
  <c r="M169" i="1" l="1"/>
  <c r="O169" i="1" s="1"/>
  <c r="O198" i="1"/>
  <c r="K208" i="1"/>
  <c r="L1635" i="1"/>
  <c r="L1546" i="1" s="1"/>
  <c r="L1728" i="1"/>
  <c r="L1647" i="1" s="1"/>
  <c r="K1434" i="1"/>
  <c r="K203" i="1"/>
  <c r="L1825" i="1"/>
  <c r="K1452" i="1"/>
  <c r="K1430" i="1"/>
  <c r="L1417" i="1"/>
  <c r="L64" i="1"/>
  <c r="K1429" i="1" l="1"/>
  <c r="K1347" i="1" l="1"/>
  <c r="J1346" i="1"/>
  <c r="I1346" i="1"/>
  <c r="H1346" i="1"/>
  <c r="G1346" i="1"/>
  <c r="F1346" i="1"/>
  <c r="K1346" i="1" l="1"/>
  <c r="L1416" i="1"/>
  <c r="L1414" i="1"/>
  <c r="G75" i="1"/>
  <c r="H75" i="1"/>
  <c r="I75" i="1"/>
  <c r="J75" i="1"/>
  <c r="F75" i="1"/>
  <c r="L90" i="1"/>
  <c r="L88" i="1"/>
  <c r="K84" i="1"/>
  <c r="K75" i="1" l="1"/>
  <c r="L291" i="1"/>
  <c r="K1122" i="1"/>
  <c r="L75" i="1" l="1"/>
  <c r="K151" i="1"/>
  <c r="K147" i="1" s="1"/>
  <c r="L1415" i="1" l="1"/>
  <c r="K774" i="1"/>
  <c r="G1811" i="1"/>
  <c r="G1784" i="1" s="1"/>
  <c r="H1811" i="1"/>
  <c r="H1784" i="1" s="1"/>
  <c r="I1811" i="1"/>
  <c r="I1784" i="1" s="1"/>
  <c r="J1811" i="1"/>
  <c r="J1784" i="1" s="1"/>
  <c r="K1811" i="1"/>
  <c r="F1811" i="1"/>
  <c r="F1784" i="1" s="1"/>
  <c r="L11" i="1" l="1"/>
  <c r="H1398" i="1"/>
  <c r="H1392" i="1" s="1"/>
  <c r="K1404" i="1"/>
  <c r="L1253" i="1"/>
  <c r="L1252" i="1"/>
  <c r="K1034" i="1"/>
  <c r="G669" i="1"/>
  <c r="H669" i="1"/>
  <c r="I669" i="1"/>
  <c r="J669" i="1"/>
  <c r="K669" i="1"/>
  <c r="F669" i="1"/>
  <c r="L670" i="1"/>
  <c r="K397" i="1"/>
  <c r="G1831" i="1"/>
  <c r="H1831" i="1"/>
  <c r="I1831" i="1"/>
  <c r="J1831" i="1"/>
  <c r="F1831" i="1"/>
  <c r="L1835" i="1"/>
  <c r="G1752" i="1"/>
  <c r="H1752" i="1"/>
  <c r="I1752" i="1"/>
  <c r="J1752" i="1"/>
  <c r="F1752" i="1"/>
  <c r="G1743" i="1"/>
  <c r="H1743" i="1"/>
  <c r="I1743" i="1"/>
  <c r="J1743" i="1"/>
  <c r="F1743" i="1"/>
  <c r="K1711" i="1"/>
  <c r="J1711" i="1"/>
  <c r="I1711" i="1"/>
  <c r="H1711" i="1"/>
  <c r="G1711" i="1"/>
  <c r="F1711" i="1"/>
  <c r="L1540" i="1"/>
  <c r="K129" i="1"/>
  <c r="K115" i="1"/>
  <c r="L1800" i="1"/>
  <c r="M1800" i="1" s="1"/>
  <c r="M1785" i="1" s="1"/>
  <c r="O1785" i="1" l="1"/>
  <c r="M1784" i="1"/>
  <c r="O1784" i="1" s="1"/>
  <c r="L1034" i="1"/>
  <c r="L669" i="1"/>
  <c r="M669" i="1"/>
  <c r="L1743" i="1"/>
  <c r="L1831" i="1"/>
  <c r="J214" i="1"/>
  <c r="I214" i="1"/>
  <c r="H214" i="1"/>
  <c r="G214" i="1"/>
  <c r="F214" i="1"/>
  <c r="K1668" i="1"/>
  <c r="J1668" i="1"/>
  <c r="I1668" i="1"/>
  <c r="H1668" i="1"/>
  <c r="G1668" i="1"/>
  <c r="F1668" i="1"/>
  <c r="K1648" i="1"/>
  <c r="J1648" i="1"/>
  <c r="I1648" i="1"/>
  <c r="H1648" i="1"/>
  <c r="G1648" i="1"/>
  <c r="F1648" i="1"/>
  <c r="K1539" i="1"/>
  <c r="L1541" i="1"/>
  <c r="L1488" i="1"/>
  <c r="K1487" i="1"/>
  <c r="J1487" i="1"/>
  <c r="I1487" i="1"/>
  <c r="H1487" i="1"/>
  <c r="G1487" i="1"/>
  <c r="F1487" i="1"/>
  <c r="K199" i="1"/>
  <c r="L1826" i="1"/>
  <c r="L1806" i="1"/>
  <c r="O1831" i="1" l="1"/>
  <c r="K169" i="1"/>
  <c r="K1647" i="1"/>
  <c r="I1647" i="1"/>
  <c r="J1647" i="1"/>
  <c r="F1647" i="1"/>
  <c r="H1647" i="1"/>
  <c r="G1647" i="1"/>
  <c r="K214" i="1"/>
  <c r="L1487" i="1"/>
  <c r="K489" i="1" l="1"/>
  <c r="K488" i="1" l="1"/>
  <c r="L28" i="1"/>
  <c r="L22" i="1"/>
  <c r="L20" i="1"/>
  <c r="L18" i="1"/>
  <c r="L16" i="1"/>
  <c r="K275" i="1" l="1"/>
  <c r="L84" i="1" l="1"/>
  <c r="L68" i="1" l="1"/>
  <c r="L61" i="1"/>
  <c r="L60" i="1"/>
  <c r="L1765" i="1" l="1"/>
  <c r="L1413" i="1" l="1"/>
  <c r="L486" i="1" l="1"/>
  <c r="L126" i="1"/>
  <c r="L124" i="1"/>
  <c r="L122" i="1"/>
  <c r="L120" i="1"/>
  <c r="L66" i="1"/>
  <c r="L1834" i="1" l="1"/>
  <c r="L1412" i="1" l="1"/>
  <c r="L1773" i="1" l="1"/>
  <c r="M1773" i="1" s="1"/>
  <c r="M1759" i="1" s="1"/>
  <c r="O1759" i="1" s="1"/>
  <c r="K765" i="1"/>
  <c r="K240" i="1"/>
  <c r="L254" i="1"/>
  <c r="L267" i="1"/>
  <c r="O1773" i="1" l="1"/>
  <c r="M254" i="1"/>
  <c r="O254" i="1" s="1"/>
  <c r="L240" i="1"/>
  <c r="L238" i="1" s="1"/>
  <c r="L268" i="1"/>
  <c r="L1777" i="1"/>
  <c r="G397" i="1" l="1"/>
  <c r="H397" i="1"/>
  <c r="I397" i="1"/>
  <c r="J397" i="1"/>
  <c r="F397" i="1"/>
  <c r="K1494" i="1" l="1"/>
  <c r="L1497" i="1"/>
  <c r="G1461" i="1"/>
  <c r="H1461" i="1"/>
  <c r="I1461" i="1"/>
  <c r="J1461" i="1"/>
  <c r="K1461" i="1"/>
  <c r="F1461" i="1"/>
  <c r="L763" i="1"/>
  <c r="J1034" i="1"/>
  <c r="I1034" i="1"/>
  <c r="H1034" i="1"/>
  <c r="G1034" i="1"/>
  <c r="F1034" i="1"/>
  <c r="L762" i="1"/>
  <c r="J1257" i="1" l="1"/>
  <c r="I1257" i="1"/>
  <c r="H1257" i="1"/>
  <c r="G1257" i="1"/>
  <c r="F1257" i="1"/>
  <c r="L761" i="1"/>
  <c r="L760" i="1" l="1"/>
  <c r="L86" i="1"/>
  <c r="L1805" i="1"/>
  <c r="L1804" i="1" s="1"/>
  <c r="L1787" i="1"/>
  <c r="L1450" i="1"/>
  <c r="M760" i="1" l="1"/>
  <c r="L158" i="1"/>
  <c r="K149" i="1"/>
  <c r="L1485" i="1"/>
  <c r="L1461" i="1" s="1"/>
  <c r="L62" i="1"/>
  <c r="O760" i="1" l="1"/>
  <c r="L1769" i="1"/>
  <c r="L50" i="1"/>
  <c r="L1833" i="1" l="1"/>
  <c r="G1506" i="1" l="1"/>
  <c r="H1506" i="1"/>
  <c r="I1506" i="1"/>
  <c r="J1506" i="1"/>
  <c r="F1506" i="1"/>
  <c r="G1492" i="1"/>
  <c r="H1492" i="1"/>
  <c r="I1492" i="1"/>
  <c r="J1492" i="1"/>
  <c r="F1492" i="1"/>
  <c r="K1542" i="1" l="1"/>
  <c r="K1400" i="1"/>
  <c r="K1398" i="1" l="1"/>
  <c r="K1392" i="1" s="1"/>
  <c r="K1506" i="1"/>
  <c r="K861" i="1"/>
  <c r="K672" i="1"/>
  <c r="L295" i="1"/>
  <c r="L1506" i="1" l="1"/>
  <c r="F1422" i="1"/>
  <c r="K239" i="1"/>
  <c r="K238" i="1" l="1"/>
  <c r="L1736" i="1"/>
  <c r="K256" i="1"/>
  <c r="K255" i="1" s="1"/>
  <c r="L103" i="1"/>
  <c r="L92" i="1"/>
  <c r="M1732" i="1" l="1"/>
  <c r="L251" i="1"/>
  <c r="O1732" i="1" l="1"/>
  <c r="M1731" i="1"/>
  <c r="O1731" i="1" s="1"/>
  <c r="K1492" i="1"/>
  <c r="L668" i="1"/>
  <c r="L487" i="1"/>
  <c r="L667" i="1"/>
  <c r="L664" i="1"/>
  <c r="L488" i="1" l="1"/>
  <c r="K671" i="1"/>
  <c r="L212" i="1" l="1"/>
  <c r="L208" i="1" s="1"/>
  <c r="L14" i="1"/>
  <c r="L12" i="1"/>
  <c r="L759" i="1" l="1"/>
  <c r="L671" i="1" s="1"/>
  <c r="L303" i="1"/>
  <c r="L302" i="1"/>
  <c r="L299" i="1"/>
  <c r="F133" i="1" l="1"/>
  <c r="F132" i="1" s="1"/>
  <c r="K161" i="1" l="1"/>
  <c r="G208" i="1"/>
  <c r="H208" i="1"/>
  <c r="I208" i="1"/>
  <c r="J208" i="1"/>
  <c r="F208" i="1"/>
  <c r="G169" i="1"/>
  <c r="H169" i="1"/>
  <c r="I169" i="1"/>
  <c r="J169" i="1"/>
  <c r="F169" i="1"/>
  <c r="M160" i="1" l="1"/>
  <c r="K107" i="1"/>
  <c r="M159" i="1" l="1"/>
  <c r="O159" i="1" s="1"/>
  <c r="O160" i="1"/>
  <c r="L1803" i="1"/>
  <c r="K1738" i="1"/>
  <c r="K1731" i="1" s="1"/>
  <c r="K1504" i="1"/>
  <c r="K768" i="1"/>
  <c r="K133" i="1"/>
  <c r="L1819" i="1"/>
  <c r="L1813" i="1"/>
  <c r="L1786" i="1"/>
  <c r="L1498" i="1"/>
  <c r="L1496" i="1"/>
  <c r="L1494" i="1"/>
  <c r="L1406" i="1"/>
  <c r="L396" i="1"/>
  <c r="L395" i="1"/>
  <c r="L118" i="1"/>
  <c r="L117" i="1"/>
  <c r="L76" i="1"/>
  <c r="L305" i="1" l="1"/>
  <c r="L1404" i="1"/>
  <c r="M1398" i="1"/>
  <c r="K132" i="1"/>
  <c r="L768" i="1"/>
  <c r="K306" i="1"/>
  <c r="L1788" i="1"/>
  <c r="O1398" i="1" l="1"/>
  <c r="M304" i="1"/>
  <c r="O304" i="1" s="1"/>
  <c r="K305" i="1"/>
  <c r="L132" i="1"/>
  <c r="L1832" i="1"/>
  <c r="L116" i="1" l="1"/>
  <c r="L34" i="1"/>
  <c r="L36" i="1"/>
  <c r="L58" i="1"/>
  <c r="L54" i="1"/>
  <c r="L52" i="1"/>
  <c r="L398" i="1"/>
  <c r="L1824" i="1"/>
  <c r="L1447" i="1"/>
  <c r="L104" i="1"/>
  <c r="L1823" i="1" l="1"/>
  <c r="K106" i="1"/>
  <c r="L113" i="1"/>
  <c r="J488" i="1" l="1"/>
  <c r="I488" i="1"/>
  <c r="H488" i="1"/>
  <c r="G488" i="1"/>
  <c r="F488" i="1"/>
  <c r="L80" i="1" l="1"/>
  <c r="L78" i="1"/>
  <c r="F100" i="1"/>
  <c r="G100" i="1"/>
  <c r="H100" i="1"/>
  <c r="I100" i="1"/>
  <c r="J100" i="1"/>
  <c r="L157" i="1"/>
  <c r="L82" i="1" l="1"/>
  <c r="L100" i="1" l="1"/>
  <c r="K74" i="1" l="1"/>
  <c r="K1802" i="1"/>
  <c r="K1784" i="1" l="1"/>
  <c r="L294" i="1"/>
  <c r="L283" i="1"/>
  <c r="L293" i="1" l="1"/>
  <c r="M293" i="1"/>
  <c r="O293" i="1" s="1"/>
  <c r="K160" i="1"/>
  <c r="L249" i="1" l="1"/>
  <c r="L1822" i="1" l="1"/>
  <c r="L108" i="1"/>
  <c r="L1410" i="1" l="1"/>
  <c r="L765" i="1" l="1"/>
  <c r="F4" i="1" l="1"/>
  <c r="G4" i="1"/>
  <c r="H4" i="1"/>
  <c r="I4" i="1"/>
  <c r="I3" i="1" s="1"/>
  <c r="J4" i="1"/>
  <c r="J3" i="1" s="1"/>
  <c r="K4" i="1"/>
  <c r="K3" i="1" s="1"/>
  <c r="L5" i="1"/>
  <c r="G10" i="1"/>
  <c r="H10" i="1"/>
  <c r="I10" i="1"/>
  <c r="J10" i="1"/>
  <c r="L101" i="1"/>
  <c r="F107" i="1"/>
  <c r="G107" i="1"/>
  <c r="H107" i="1"/>
  <c r="I107" i="1"/>
  <c r="J107" i="1"/>
  <c r="L110" i="1"/>
  <c r="F112" i="1"/>
  <c r="G112" i="1"/>
  <c r="H112" i="1"/>
  <c r="I112" i="1"/>
  <c r="J112" i="1"/>
  <c r="F115" i="1"/>
  <c r="G115" i="1"/>
  <c r="H115" i="1"/>
  <c r="I115" i="1"/>
  <c r="J115" i="1"/>
  <c r="F129" i="1"/>
  <c r="G129" i="1"/>
  <c r="H129" i="1"/>
  <c r="I129" i="1"/>
  <c r="I128" i="1" s="1"/>
  <c r="J129" i="1"/>
  <c r="J128" i="1" s="1"/>
  <c r="K128" i="1"/>
  <c r="L130" i="1"/>
  <c r="F149" i="1"/>
  <c r="G149" i="1"/>
  <c r="H149" i="1"/>
  <c r="I149" i="1"/>
  <c r="J149" i="1"/>
  <c r="L150" i="1"/>
  <c r="L151" i="1"/>
  <c r="L152" i="1"/>
  <c r="L153" i="1"/>
  <c r="L154" i="1"/>
  <c r="L155" i="1"/>
  <c r="L156" i="1"/>
  <c r="G159" i="1"/>
  <c r="H159" i="1"/>
  <c r="I159" i="1"/>
  <c r="J159" i="1"/>
  <c r="L200" i="1"/>
  <c r="L201" i="1"/>
  <c r="L202" i="1"/>
  <c r="L204" i="1"/>
  <c r="L205" i="1"/>
  <c r="L207" i="1"/>
  <c r="F238" i="1"/>
  <c r="G238" i="1"/>
  <c r="H238" i="1"/>
  <c r="I238" i="1"/>
  <c r="J238" i="1"/>
  <c r="L242" i="1"/>
  <c r="L246" i="1"/>
  <c r="L247" i="1"/>
  <c r="L248" i="1"/>
  <c r="L250" i="1"/>
  <c r="F253" i="1"/>
  <c r="G253" i="1"/>
  <c r="H253" i="1"/>
  <c r="I253" i="1"/>
  <c r="I252" i="1" s="1"/>
  <c r="J253" i="1"/>
  <c r="J252" i="1" s="1"/>
  <c r="K253" i="1"/>
  <c r="K252" i="1" s="1"/>
  <c r="F256" i="1"/>
  <c r="G256" i="1"/>
  <c r="H256" i="1"/>
  <c r="I256" i="1"/>
  <c r="I255" i="1" s="1"/>
  <c r="J256" i="1"/>
  <c r="J255" i="1" s="1"/>
  <c r="L257" i="1"/>
  <c r="L259" i="1"/>
  <c r="L261" i="1"/>
  <c r="F272" i="1"/>
  <c r="G272" i="1"/>
  <c r="H272" i="1"/>
  <c r="I272" i="1"/>
  <c r="J272" i="1"/>
  <c r="K272" i="1"/>
  <c r="L273" i="1"/>
  <c r="L274" i="1"/>
  <c r="F275" i="1"/>
  <c r="G275" i="1"/>
  <c r="H275" i="1"/>
  <c r="I275" i="1"/>
  <c r="J275" i="1"/>
  <c r="L284" i="1"/>
  <c r="L285" i="1"/>
  <c r="L286" i="1"/>
  <c r="L287" i="1"/>
  <c r="L288" i="1"/>
  <c r="L289" i="1"/>
  <c r="F290" i="1"/>
  <c r="G290" i="1"/>
  <c r="H290" i="1"/>
  <c r="I290" i="1"/>
  <c r="J290" i="1"/>
  <c r="K298" i="1"/>
  <c r="F301" i="1"/>
  <c r="G301" i="1"/>
  <c r="H301" i="1"/>
  <c r="I301" i="1"/>
  <c r="I300" i="1" s="1"/>
  <c r="J301" i="1"/>
  <c r="J300" i="1" s="1"/>
  <c r="K301" i="1"/>
  <c r="K300" i="1" s="1"/>
  <c r="F305" i="1"/>
  <c r="J305" i="1"/>
  <c r="G305" i="1"/>
  <c r="H305" i="1"/>
  <c r="I305" i="1"/>
  <c r="L399" i="1"/>
  <c r="F671" i="1"/>
  <c r="G671" i="1"/>
  <c r="H671" i="1"/>
  <c r="I671" i="1"/>
  <c r="J671" i="1"/>
  <c r="F764" i="1"/>
  <c r="G764" i="1"/>
  <c r="H764" i="1"/>
  <c r="I764" i="1"/>
  <c r="J764" i="1"/>
  <c r="L766" i="1"/>
  <c r="L767" i="1"/>
  <c r="K764" i="1"/>
  <c r="L770" i="1"/>
  <c r="L771" i="1"/>
  <c r="L772" i="1"/>
  <c r="G773" i="1"/>
  <c r="F773" i="1"/>
  <c r="H773" i="1"/>
  <c r="I773" i="1"/>
  <c r="J773" i="1"/>
  <c r="L1399" i="1"/>
  <c r="L1402" i="1"/>
  <c r="L1403" i="1"/>
  <c r="L1409" i="1"/>
  <c r="G1423" i="1"/>
  <c r="H1423" i="1"/>
  <c r="I1423" i="1"/>
  <c r="I1422" i="1" s="1"/>
  <c r="J1423" i="1"/>
  <c r="J1422" i="1" s="1"/>
  <c r="K1423" i="1"/>
  <c r="K1422" i="1" s="1"/>
  <c r="L1424" i="1"/>
  <c r="L1425" i="1"/>
  <c r="L1430" i="1"/>
  <c r="L1432" i="1"/>
  <c r="L1433" i="1"/>
  <c r="F1489" i="1"/>
  <c r="G1489" i="1"/>
  <c r="H1489" i="1"/>
  <c r="I1489" i="1"/>
  <c r="J1489" i="1"/>
  <c r="K1489" i="1"/>
  <c r="L1490" i="1"/>
  <c r="L1491" i="1"/>
  <c r="L1493" i="1"/>
  <c r="F1499" i="1"/>
  <c r="G1499" i="1"/>
  <c r="H1499" i="1"/>
  <c r="I1499" i="1"/>
  <c r="J1499" i="1"/>
  <c r="K1499" i="1"/>
  <c r="L1500" i="1"/>
  <c r="F1504" i="1"/>
  <c r="G1504" i="1"/>
  <c r="H1504" i="1"/>
  <c r="I1504" i="1"/>
  <c r="J1504" i="1"/>
  <c r="L1505" i="1"/>
  <c r="F1542" i="1"/>
  <c r="G1542" i="1"/>
  <c r="H1542" i="1"/>
  <c r="I1542" i="1"/>
  <c r="J1542" i="1"/>
  <c r="L1543" i="1"/>
  <c r="L1544" i="1"/>
  <c r="F1547" i="1"/>
  <c r="G1547" i="1"/>
  <c r="H1547" i="1"/>
  <c r="I1547" i="1"/>
  <c r="I1546" i="1" s="1"/>
  <c r="J1547" i="1"/>
  <c r="J1546" i="1" s="1"/>
  <c r="L1733" i="1"/>
  <c r="F1738" i="1"/>
  <c r="G1738" i="1"/>
  <c r="H1738" i="1"/>
  <c r="I1738" i="1"/>
  <c r="I1731" i="1" s="1"/>
  <c r="J1738" i="1"/>
  <c r="J1731" i="1" s="1"/>
  <c r="L1739" i="1"/>
  <c r="L1741" i="1"/>
  <c r="L1744" i="1"/>
  <c r="L1748" i="1"/>
  <c r="L1749" i="1"/>
  <c r="L1753" i="1"/>
  <c r="L1760" i="1"/>
  <c r="L1762" i="1"/>
  <c r="L1763" i="1"/>
  <c r="L1767" i="1"/>
  <c r="L1771" i="1"/>
  <c r="L1802" i="1"/>
  <c r="L1812" i="1"/>
  <c r="L1815" i="1"/>
  <c r="L1489" i="1" l="1"/>
  <c r="L1759" i="1"/>
  <c r="L1429" i="1"/>
  <c r="L1542" i="1"/>
  <c r="L1400" i="1"/>
  <c r="L1398" i="1" s="1"/>
  <c r="L275" i="1"/>
  <c r="H1731" i="1"/>
  <c r="H255" i="1"/>
  <c r="H300" i="1"/>
  <c r="H1546" i="1"/>
  <c r="H252" i="1"/>
  <c r="H128" i="1"/>
  <c r="H3" i="1"/>
  <c r="H1422" i="1"/>
  <c r="L1492" i="1"/>
  <c r="M1492" i="1"/>
  <c r="G255" i="1"/>
  <c r="G300" i="1"/>
  <c r="L1752" i="1"/>
  <c r="G1546" i="1"/>
  <c r="G252" i="1"/>
  <c r="G128" i="1"/>
  <c r="G3" i="1"/>
  <c r="G1731" i="1"/>
  <c r="G1422" i="1"/>
  <c r="L397" i="1"/>
  <c r="L112" i="1"/>
  <c r="H304" i="1"/>
  <c r="J262" i="1"/>
  <c r="G304" i="1"/>
  <c r="J304" i="1"/>
  <c r="H262" i="1"/>
  <c r="I131" i="1"/>
  <c r="F262" i="1"/>
  <c r="G131" i="1"/>
  <c r="I262" i="1"/>
  <c r="J131" i="1"/>
  <c r="I304" i="1"/>
  <c r="G262" i="1"/>
  <c r="H131" i="1"/>
  <c r="K1460" i="1"/>
  <c r="F304" i="1"/>
  <c r="L1811" i="1"/>
  <c r="L1784" i="1" s="1"/>
  <c r="F1546" i="1"/>
  <c r="L298" i="1"/>
  <c r="K297" i="1"/>
  <c r="H106" i="1"/>
  <c r="I106" i="1"/>
  <c r="G106" i="1"/>
  <c r="J106" i="1"/>
  <c r="F106" i="1"/>
  <c r="L1504" i="1"/>
  <c r="L107" i="1"/>
  <c r="K1547" i="1"/>
  <c r="K1546" i="1" s="1"/>
  <c r="F300" i="1"/>
  <c r="L301" i="1"/>
  <c r="L272" i="1"/>
  <c r="F255" i="1"/>
  <c r="L256" i="1"/>
  <c r="L4" i="1"/>
  <c r="L3" i="1" s="1"/>
  <c r="F128" i="1"/>
  <c r="L129" i="1"/>
  <c r="L764" i="1"/>
  <c r="F252" i="1"/>
  <c r="L253" i="1"/>
  <c r="M253" i="1" s="1"/>
  <c r="O253" i="1" s="1"/>
  <c r="L149" i="1"/>
  <c r="L115" i="1"/>
  <c r="F3" i="1"/>
  <c r="F1731" i="1"/>
  <c r="F10" i="1"/>
  <c r="L1738" i="1"/>
  <c r="L1499" i="1"/>
  <c r="I74" i="1"/>
  <c r="H74" i="1"/>
  <c r="G74" i="1"/>
  <c r="K10" i="1"/>
  <c r="K290" i="1"/>
  <c r="L290" i="1" s="1"/>
  <c r="K159" i="1"/>
  <c r="K131" i="1" s="1"/>
  <c r="J74" i="1"/>
  <c r="F74" i="1"/>
  <c r="L133" i="1"/>
  <c r="L170" i="1"/>
  <c r="L1423" i="1"/>
  <c r="L1422" i="1" s="1"/>
  <c r="L203" i="1"/>
  <c r="L169" i="1" l="1"/>
  <c r="L160" i="1" s="1"/>
  <c r="L159" i="1" s="1"/>
  <c r="O1492" i="1"/>
  <c r="M1460" i="1"/>
  <c r="O1460" i="1" s="1"/>
  <c r="L304" i="1"/>
  <c r="L297" i="1"/>
  <c r="L128" i="1"/>
  <c r="L255" i="1"/>
  <c r="L300" i="1"/>
  <c r="L1731" i="1"/>
  <c r="K262" i="1"/>
  <c r="I1539" i="1"/>
  <c r="G1539" i="1"/>
  <c r="F1539" i="1"/>
  <c r="H1539" i="1"/>
  <c r="J1539" i="1"/>
  <c r="L10" i="1"/>
  <c r="L252" i="1"/>
  <c r="M252" i="1" s="1"/>
  <c r="L74" i="1"/>
  <c r="L106" i="1"/>
  <c r="F159" i="1"/>
  <c r="O252" i="1" l="1"/>
  <c r="G1460" i="1"/>
  <c r="G1830" i="1" s="1"/>
  <c r="L131" i="1"/>
  <c r="F1460" i="1"/>
  <c r="J1460" i="1"/>
  <c r="J1830" i="1" s="1"/>
  <c r="I1460" i="1"/>
  <c r="I1830" i="1" s="1"/>
  <c r="H1460" i="1"/>
  <c r="H1830" i="1" s="1"/>
  <c r="F131" i="1"/>
  <c r="L1539" i="1"/>
  <c r="L1460" i="1" s="1"/>
  <c r="G1837" i="1" l="1"/>
  <c r="F1830" i="1"/>
  <c r="F1837" i="1" s="1"/>
  <c r="I1837" i="1"/>
  <c r="J1837" i="1"/>
  <c r="H1837" i="1"/>
  <c r="K773" i="1"/>
  <c r="M131" i="1" l="1"/>
  <c r="II159" i="1"/>
  <c r="K304" i="1"/>
  <c r="K1830" i="1" s="1"/>
  <c r="O131" i="1" l="1"/>
  <c r="N1837" i="1"/>
  <c r="M262" i="1"/>
  <c r="O262" i="1" s="1"/>
  <c r="L262" i="1"/>
  <c r="L1830" i="1" s="1"/>
  <c r="M1830" i="1" l="1"/>
  <c r="O1830" i="1" s="1"/>
  <c r="K1837" i="1"/>
  <c r="M1837" i="1" l="1"/>
  <c r="O1837" i="1" s="1"/>
  <c r="L1837" i="1"/>
</calcChain>
</file>

<file path=xl/sharedStrings.xml><?xml version="1.0" encoding="utf-8"?>
<sst xmlns="http://schemas.openxmlformats.org/spreadsheetml/2006/main" count="2590" uniqueCount="781">
  <si>
    <t>-</t>
  </si>
  <si>
    <t>O G Ó Ł E M    B U D Ż E T</t>
  </si>
  <si>
    <t>ROZCHODY</t>
  </si>
  <si>
    <t>O G Ó Ł E M    W Y D A T K I</t>
  </si>
  <si>
    <r>
      <rPr>
        <b/>
        <sz val="18"/>
        <rFont val="Times New Roman"/>
        <family val="1"/>
        <charset val="238"/>
      </rPr>
      <t>Nagrody w dziedzinie kultury</t>
    </r>
    <r>
      <rPr>
        <sz val="18"/>
        <rFont val="Times New Roman"/>
        <family val="1"/>
        <charset val="238"/>
      </rPr>
      <t xml:space="preserve">, w tym: </t>
    </r>
    <r>
      <rPr>
        <i/>
        <sz val="18"/>
        <rFont val="Times New Roman"/>
        <family val="1"/>
        <charset val="238"/>
      </rPr>
      <t>nagroda za osiągnięcia w dziedzinie twórczości artystycznej, upowszechniania i ochrony dóbr kultury - Łęczyński Odyniec Kultury; nagrody dla młodzieży za osiągnięcia w dziedzinie twórczości artystycznej, upowszechniania i ochrony kultury</t>
    </r>
  </si>
  <si>
    <t>Pozostała działalność</t>
  </si>
  <si>
    <t>Dotacja dla Miejsko-Gminnej Biblioteki Publicznej w Łęcznej</t>
  </si>
  <si>
    <t>Biblioteki</t>
  </si>
  <si>
    <t>Festyn rekreacyjny "Bieg Kasztelański"</t>
  </si>
  <si>
    <t>Międzynarodowy Plener Malarski</t>
  </si>
  <si>
    <t>Festiwal Kapel Ulicznych i Podwórkowych</t>
  </si>
  <si>
    <r>
      <t xml:space="preserve">Dotacja dla Centrum Kultury w Łęcznej </t>
    </r>
    <r>
      <rPr>
        <sz val="18"/>
        <rFont val="Times New Roman"/>
        <family val="1"/>
        <charset val="238"/>
      </rPr>
      <t xml:space="preserve">na realizację  następujących zadań zleconych przez Gminę Łęczna </t>
    </r>
  </si>
  <si>
    <t>KULTURA I OCHRONA DZIEDZICTWA NARODOWEGO</t>
  </si>
  <si>
    <t>w tym:</t>
  </si>
  <si>
    <t>Zdroje uliczne - opłata za pobór wody, naprawy i wymiany</t>
  </si>
  <si>
    <t>Oświetlenie ulic, placów i dróg</t>
  </si>
  <si>
    <t>Utrzymanie zieleni w miastach i gminach</t>
  </si>
  <si>
    <t>Oczyszczanie miast i wsi</t>
  </si>
  <si>
    <t>Gospodarka odpadami</t>
  </si>
  <si>
    <t>GOSPODARKA KOMUNALNA I OCHRONA ŚRODOWISKA</t>
  </si>
  <si>
    <t>ŚRODKI DLA SZKÓŁ:</t>
  </si>
  <si>
    <t>A</t>
  </si>
  <si>
    <t xml:space="preserve">Świetlice szkolne </t>
  </si>
  <si>
    <t>85401</t>
  </si>
  <si>
    <t>EDUKACYJNA OPIEKA WYCHOWAWCZA</t>
  </si>
  <si>
    <t>Obsługa bankowa jednostek organizacyjnych gminy (MOPS, ŚDS w Łęcznej)</t>
  </si>
  <si>
    <t>Ośrodki pomocy społecznej</t>
  </si>
  <si>
    <t>85219</t>
  </si>
  <si>
    <t>Zasiłki stałe</t>
  </si>
  <si>
    <t>Dodatki mieszkaniowe</t>
  </si>
  <si>
    <t>Zasiłki i pomoc w naturze oraz składki na ubezpieczenia emerytalne i rentowe</t>
  </si>
  <si>
    <t>85214</t>
  </si>
  <si>
    <t>Ośrodki wsparcia</t>
  </si>
  <si>
    <t>85203</t>
  </si>
  <si>
    <t>POMOC SPOŁECZNA</t>
  </si>
  <si>
    <t xml:space="preserve">Rezerwa celowa z przeznaczeniem na realizację zadań z zakresu profilaktyki i przeciwdziałania alkoholizmowi, zleconych w drodze otwartych konkursów ofert podmiotom niezaliczanym do sektora finansów publicznych i niedziałającym w celu osiągnięcia zysku </t>
  </si>
  <si>
    <t>Realizacja Gminnego Programu Profilaktyki i Rozwiązywania Problemów Alkoholowych</t>
  </si>
  <si>
    <t>Przeciwdziałanie alkoholizmowi</t>
  </si>
  <si>
    <t>Rezerwa celowa z przeznaczeniem na realizację zadań z zakresu przeciwdziałania narkomanii, zleconych w drodze otwartych konkursów ofert, podmiotom niezaliczanym do sektora finansów publicznych i niedziałającym w celu osiągnięcia zysku.</t>
  </si>
  <si>
    <t>Zwalczanie narkomanii</t>
  </si>
  <si>
    <t>OCHRONA ZDROWIA</t>
  </si>
  <si>
    <t>Komisje egzaminacyjne na stopień nauczyciela mianowanego</t>
  </si>
  <si>
    <t>Zespół Obsługi Szkół i Przedszkoli w Łęcznej</t>
  </si>
  <si>
    <t>Nagrody Burmistrza Łęcznej dla nauczycieli</t>
  </si>
  <si>
    <t>Urząd Miejski w Łęcznej</t>
  </si>
  <si>
    <t>Stypendia dla dzieci i młodzieży za wyniki w nauce</t>
  </si>
  <si>
    <t>Odpis na ZFŚS dla emerytów i rencistów w szkołach</t>
  </si>
  <si>
    <t xml:space="preserve">Przedszkole Publiczne Nr 4 </t>
  </si>
  <si>
    <t>Przedszkole Publiczne Nr 3</t>
  </si>
  <si>
    <t>Przedszkole Publiczne Nr 2</t>
  </si>
  <si>
    <t>Przedszkole Publiczne Nr 1</t>
  </si>
  <si>
    <t>ŚRODKI DLA PRZEDSZKOLI:</t>
  </si>
  <si>
    <t>B</t>
  </si>
  <si>
    <t>Stołówki szkolne i przedszkolne</t>
  </si>
  <si>
    <t>Dokształcanie i doskonalenie nauczycieli</t>
  </si>
  <si>
    <r>
      <t xml:space="preserve">Środki dla </t>
    </r>
    <r>
      <rPr>
        <b/>
        <u/>
        <sz val="18"/>
        <rFont val="Times New Roman"/>
        <family val="1"/>
        <charset val="238"/>
      </rPr>
      <t>Zespołu Obsługi Szkół i Przedszkoli w Łęcznej</t>
    </r>
    <r>
      <rPr>
        <b/>
        <sz val="18"/>
        <rFont val="Times New Roman"/>
        <family val="1"/>
        <charset val="238"/>
      </rPr>
      <t xml:space="preserve"> </t>
    </r>
    <r>
      <rPr>
        <sz val="18"/>
        <rFont val="Times New Roman"/>
        <family val="1"/>
        <charset val="238"/>
      </rPr>
      <t>na pokrycie kosztów funkcjonowania</t>
    </r>
  </si>
  <si>
    <t>Dowożenie uczniów do szkół</t>
  </si>
  <si>
    <t>Dotacja dla Niepublicznego Gimnazjum w Zofiówce prowadzonego przez Stowarzyszenie Nauczycieli i Wychowawców "Przyjazna Szkoła" w Zofiówce</t>
  </si>
  <si>
    <t>Gimnazja</t>
  </si>
  <si>
    <t>C</t>
  </si>
  <si>
    <t>ŚRODKI DLA PUBLICZNYCH PRZEDSZKOLI:</t>
  </si>
  <si>
    <t>Przedszkola</t>
  </si>
  <si>
    <r>
      <t xml:space="preserve">Dotacja dla </t>
    </r>
    <r>
      <rPr>
        <b/>
        <sz val="18"/>
        <rFont val="Times New Roman"/>
        <family val="1"/>
        <charset val="238"/>
      </rPr>
      <t>Stowarzyszenia Edukacyjnego  "Żak"</t>
    </r>
    <r>
      <rPr>
        <sz val="18"/>
        <rFont val="Times New Roman"/>
        <family val="1"/>
        <charset val="238"/>
      </rPr>
      <t xml:space="preserve"> w Ciechankach Łęczyńskich</t>
    </r>
  </si>
  <si>
    <t>Oddziały przedszkolne w szkołach podstawowych</t>
  </si>
  <si>
    <t>Szkoły podstawowe</t>
  </si>
  <si>
    <t>OŚWIATA I WYCHOWANIE</t>
  </si>
  <si>
    <t>Rezerwa ogólna</t>
  </si>
  <si>
    <t>Rezerwy ogólne i celowe</t>
  </si>
  <si>
    <t>75818</t>
  </si>
  <si>
    <t>RÓŻNE ROZLICZENIA</t>
  </si>
  <si>
    <t>758</t>
  </si>
  <si>
    <t>Odsetki od kredytów, pożyczek oraz wyemitowanych obligacji</t>
  </si>
  <si>
    <t>Obsługa papierów wartościowych, kredytów i pożyczek jst</t>
  </si>
  <si>
    <t>OBSŁUGA DŁUGU PUBLICZNEGO</t>
  </si>
  <si>
    <t>Rezerwa celowa z przeznaczeniem na realizację zadań własnych z zakresu zarządzania kryzysowego</t>
  </si>
  <si>
    <t>Zarządzanie kryzysowe</t>
  </si>
  <si>
    <t>Badania lekarskie pracowników Straży Miejskiej w Łęcznej</t>
  </si>
  <si>
    <t>Szkolenia dla Straży Miejskiej w Łęcznej</t>
  </si>
  <si>
    <t>Podróże służbowe zagraniczne i krajowe</t>
  </si>
  <si>
    <t>Realizacja programu "Bezpieczne życie"</t>
  </si>
  <si>
    <t>Realizacja programu "Jestem Bezpieczny"</t>
  </si>
  <si>
    <t xml:space="preserve">Wydatki rzeczowe na utrzymanie Straży Miejskiej w Łęcznej              </t>
  </si>
  <si>
    <t>Wydatki płacowe dla Straży Miejskiej w Łęcznej:</t>
  </si>
  <si>
    <t>Straż Miejska</t>
  </si>
  <si>
    <t>Wydatki na szkolenia obrony cywilnej</t>
  </si>
  <si>
    <t>Obrona cywilna</t>
  </si>
  <si>
    <t>w tym w szczególności:</t>
  </si>
  <si>
    <t>Ochotnicze straże pożarne</t>
  </si>
  <si>
    <t>BEZPIECZEŃSTWO PUBLICZNE I OCHRONA PRZECIWPOŻAROWA</t>
  </si>
  <si>
    <t>Wydatki na pokrycie kosztów szkoleń obronnych i treningów akcji kurierskiej</t>
  </si>
  <si>
    <t>Pokrycie należności mieszkaniowych żołnierzom odbywającym służbę wojskową, absolwentom szkół wyższych odbywających przeszkolenie</t>
  </si>
  <si>
    <t>Wypłata świadczenia pieniężnego żołnierzom rezerwy odbywającym ćwiczenia wojskowe</t>
  </si>
  <si>
    <t>Pozostałe wydatki obronne</t>
  </si>
  <si>
    <t>OBRONA NARODOWA</t>
  </si>
  <si>
    <t>Koszty prowadzenia i aktualizacji stałego rejestru wyborców</t>
  </si>
  <si>
    <t>Urzędy naczelnych organów władzy państwowej, kontroli i ochrony prawa</t>
  </si>
  <si>
    <t>URZĘDY NACZELNYCH ORGANÓW WŁADZY PAŃSTWOWEJ, KONTROLI I OCHRONY PRAWA ORAZ SĄDOWNICTWA</t>
  </si>
  <si>
    <t>koszty postępowania egzekucyjnego wynikające z nałożonych przez Straż Miejską w Łęcznej mandatów karnych</t>
  </si>
  <si>
    <t>inne koszty związane z poborem podatków i opłat (druki, opłaty pocztowe i inne opłaty)</t>
  </si>
  <si>
    <t>koszty związane z ustanowieniem zabezpieczenia hipotecznego w związku z zaległościami podatkowymi</t>
  </si>
  <si>
    <t>koszty związane z egzekucją zaległych podatków</t>
  </si>
  <si>
    <t>Współpraca z miastami partnerskimi</t>
  </si>
  <si>
    <t>Promocja Gminy Łęczna, zakup materiałów na rozwój i promocję miasta</t>
  </si>
  <si>
    <t xml:space="preserve">Promocja jednostek samorządu terytorialnego </t>
  </si>
  <si>
    <t>Ubezpieczenie wspólne majątku i odpowiedzialności cywilnej Gminy Łęczna wraz z jednostkami organizacyjnymi i instytucjami kultury</t>
  </si>
  <si>
    <t>Koszty związane z przeprowadzeniem audytu Gminy Łęczna</t>
  </si>
  <si>
    <t>Badania lekarskie pracowników</t>
  </si>
  <si>
    <t>Obsługa bankowa budżetu</t>
  </si>
  <si>
    <t>Wydatki na utrzymanie Urzędu Miejskiego w Łęcznej</t>
  </si>
  <si>
    <t>WYDATKI RZECZOWE I MAJĄTKOWE</t>
  </si>
  <si>
    <t>Środki przeznacza się na utrzymanie administracji samorządowej; pokrywają one wydatki osobowe i rzeczowe</t>
  </si>
  <si>
    <t>Urzędy gmin (miast i miast na prawach powiatu)</t>
  </si>
  <si>
    <t>Współpraca samorządu Gminy Łęczna z innymi samorządami terytorialnymi</t>
  </si>
  <si>
    <t>Podróże służbowe radnych Rady Miejskiej w Łęcznej</t>
  </si>
  <si>
    <t>Szkolenia dla radnych Rady Miejskiej w Łęcznej</t>
  </si>
  <si>
    <t>Wydatki rzeczowe - zakupy na posiedzenia komisji i Sesje Rady Miejskiej</t>
  </si>
  <si>
    <t>Diety dla przewodniczących jednostek pomocniczych gminy</t>
  </si>
  <si>
    <t>Diety radnych - ryczałt</t>
  </si>
  <si>
    <t>Rady gmin (miast i miast na prawach powiatu)</t>
  </si>
  <si>
    <t>5. Odpis na ZFŚS</t>
  </si>
  <si>
    <t>4. Składki na Fundusz Pracy</t>
  </si>
  <si>
    <t>3. Składki na ubezpieczenia społeczne</t>
  </si>
  <si>
    <t>2. Dodatkowe wynagrodzenia roczne</t>
  </si>
  <si>
    <t>Urzędy wojewódzkie</t>
  </si>
  <si>
    <t>75011</t>
  </si>
  <si>
    <t>ADMINISTRACJA PUBLICZNA</t>
  </si>
  <si>
    <t>INFORMATYKA</t>
  </si>
  <si>
    <t>Cmentarze</t>
  </si>
  <si>
    <t>Plany zagospodarowania przestrzennego</t>
  </si>
  <si>
    <t>DZIAŁALNOŚĆ USŁUGOWA</t>
  </si>
  <si>
    <t>Gospodarka gruntami i nieruchomościami</t>
  </si>
  <si>
    <t>GOSPODARKA MIESZKANIOWA</t>
  </si>
  <si>
    <t>Drogi publiczne gminne</t>
  </si>
  <si>
    <t>TRANSPORT I ŁĄCZNOŚĆ</t>
  </si>
  <si>
    <t>Izby rolnicze</t>
  </si>
  <si>
    <t>01030</t>
  </si>
  <si>
    <t>ROLNICTWO I ŁOWIECTWO</t>
  </si>
  <si>
    <t>010</t>
  </si>
  <si>
    <t xml:space="preserve"> ROZDZIAŁ</t>
  </si>
  <si>
    <t>NAZWA ZADANIA - DZIAŁU</t>
  </si>
  <si>
    <t xml:space="preserve">DZIAŁ </t>
  </si>
  <si>
    <t>Lp.</t>
  </si>
  <si>
    <t>Wspieranie rodziny</t>
  </si>
  <si>
    <t>Realizacja Programu Przeciwdziałania Narkomanii (pomoc finansowa dla Powiatu Łęczyńskiego z przeznaczeniem na realizację zadań przez PCPR)</t>
  </si>
  <si>
    <t>Domy i ośrodki kultury, świetlice i kluby</t>
  </si>
  <si>
    <r>
      <t xml:space="preserve">Dotacja dla </t>
    </r>
    <r>
      <rPr>
        <b/>
        <sz val="18"/>
        <rFont val="Times New Roman"/>
        <family val="1"/>
        <charset val="238"/>
      </rPr>
      <t>Stowarzyszenia Nauczycieli i Wychowawców "Przyjazna Szkoła"</t>
    </r>
    <r>
      <rPr>
        <sz val="18"/>
        <rFont val="Times New Roman"/>
        <family val="1"/>
        <charset val="238"/>
      </rPr>
      <t xml:space="preserve"> w Zofiówce</t>
    </r>
  </si>
  <si>
    <t xml:space="preserve"> KULTURA FIZYCZNA </t>
  </si>
  <si>
    <t>Zadania w zakresie kultury fizycznej</t>
  </si>
  <si>
    <t>ŚRODKI DLA SZKÓŁ PROWADZONYCH PRZEZ GMINĘ:</t>
  </si>
  <si>
    <t>Jagiełka 2</t>
  </si>
  <si>
    <t>- wypłata zasiłków</t>
  </si>
  <si>
    <t>D</t>
  </si>
  <si>
    <t>Uroczysta oprawa wręczenia nagród za osiągnięcia sportowe oraz oprawa uroczystości wręczenia nagród za osiągnięcia w dziedzinie upowszechniania kultury i Łęczyńskiego Odyńca Kultury</t>
  </si>
  <si>
    <t>Wysokość rezerwy została ustalona zgodnie z art. 26 ust. 4 ustawy z dnia 26.04.2007 roku o zarządzaniu kryzysowym. Przepis ten nakłada na jest obowiązek utworzenia rezerwy w wysokości nie mniejszej niż 0,5% wydatków budżetu jest, pomniejszonych o wydatki inwestycyjne, na wynagrodzenia, pochodne od wynagrodzeń oraz na obsługę długu.</t>
  </si>
  <si>
    <t>Składki na ubezpieczenie zdrowotne opłacane za osoby pobierające niektóre świadczenia z pomocy społecznej oraz niektóre świadczenia rodzinne oraz za osoby uczestniczące w zajęciach w centrum integracji społecznej</t>
  </si>
  <si>
    <t>Świadczenia rodzinne, świadczenie funduszu alimentacyjnego oraz składki na ubezpieczenie emerytalne i rentowe z ubezpieczenia społecznego</t>
  </si>
  <si>
    <t>Wyłapywanie bezpańskich zwierząt, zlecanie obserwacji przez lekarzy weterynarii, usługi weterynaryjne i opieka nad bezdomnymi zwierzętami</t>
  </si>
  <si>
    <t>Utrzymanie targowiska w mieście - wywóz nieczystości, dostawa energii i wody, naprawy bieżące</t>
  </si>
  <si>
    <t xml:space="preserve">Zapewnienie gotowości bojowej jednostek Ochotniczych Straży Pożarnych z terenu Gminy Łęczna </t>
  </si>
  <si>
    <t>Wydatki rzeczowe na utrzymanie jednostek pomocniczych gminy (całoroczna prenumerata "Gazety Sołeckiej" dla sołtysów - 16 sołectw)</t>
  </si>
  <si>
    <r>
      <t xml:space="preserve">Wrzosowa 3 nr 12, 21, 22 - </t>
    </r>
    <r>
      <rPr>
        <sz val="18"/>
        <color indexed="8"/>
        <rFont val="Times New Roman"/>
        <family val="1"/>
        <charset val="238"/>
      </rPr>
      <t>utrzymanie lokali mieszkalnych -komunalnych (</t>
    </r>
    <r>
      <rPr>
        <i/>
        <sz val="18"/>
        <color indexed="8"/>
        <rFont val="Times New Roman"/>
        <family val="1"/>
        <charset val="238"/>
      </rPr>
      <t>w tym: opłaty czynszowe za lokal, refundowane przez najemców</t>
    </r>
    <r>
      <rPr>
        <sz val="18"/>
        <color indexed="8"/>
        <rFont val="Times New Roman"/>
        <family val="1"/>
        <charset val="238"/>
      </rPr>
      <t>)</t>
    </r>
  </si>
  <si>
    <t>Wynagrodzenie dla Gminnej Komisji Urbanistyczno-Architektonicznej</t>
  </si>
  <si>
    <t xml:space="preserve">Szacunki nieruchomości (działek do sprzedaży oraz wycena wartości działek do aktualizacji opłat za użytkowanie wieczyste) </t>
  </si>
  <si>
    <t>Drobne prace geodezyjne (podziały nieruchomości, wznowienie granic, wypisy i wyrysy z ewidencji gruntów)</t>
  </si>
  <si>
    <t xml:space="preserve">Opracowanie operatów nazewnictwa ulic i numeracji porządkowej nieruchomości </t>
  </si>
  <si>
    <t xml:space="preserve">Opłaty roczne za wieczyste użytkowanie gruntów Skarbu Państwa </t>
  </si>
  <si>
    <t xml:space="preserve">Ogłoszenia w prasie (przetargi, plany zagospodarowania przestrzennego) </t>
  </si>
  <si>
    <t xml:space="preserve">Środki samorządowe na wypłatę dodatków mieszkaniowych </t>
  </si>
  <si>
    <t xml:space="preserve">Dieta Przewodniczącego Rady Miejskiej </t>
  </si>
  <si>
    <r>
      <t>Środki na dożywianie dzieci uczestniczących w pozalekcyjnych programach opiekuńczo - wychowawczych i socjoterapeutycznych. Zadanie realizowane przez</t>
    </r>
    <r>
      <rPr>
        <b/>
        <sz val="18"/>
        <rFont val="Times New Roman"/>
        <family val="1"/>
        <charset val="238"/>
      </rPr>
      <t xml:space="preserve"> MOPS w Łęcznej</t>
    </r>
    <r>
      <rPr>
        <sz val="18"/>
        <rFont val="Times New Roman"/>
        <family val="1"/>
        <charset val="238"/>
      </rPr>
      <t>.</t>
    </r>
  </si>
  <si>
    <t>Uroczystości, konkursy, wystawy organizowane w ramach obchodów upamiętniających Łęczyńskich Bohaterów Września oraz uroczystości poświęconych mieszkańcom obrządku prawosławnego</t>
  </si>
  <si>
    <t xml:space="preserve">Nagrody i wyróżnienia za osiągnięcie wysokich wyników sportowych </t>
  </si>
  <si>
    <t>Opłata za korzystanie ze środowiska (dzierżawa gruntów pokrytych wodami - kładki; wody opadowe z kanalizacji deszczowej)</t>
  </si>
  <si>
    <r>
      <t>Utrzymanie czystości na terenie miasta i gminy (</t>
    </r>
    <r>
      <rPr>
        <i/>
        <sz val="18"/>
        <rFont val="Times New Roman CE"/>
        <charset val="238"/>
      </rPr>
      <t>w tym:  oczyszczanie przykrawężnikowe ulic, utrzymanie toalety, utylizacja padłych zwierząt i inne</t>
    </r>
    <r>
      <rPr>
        <sz val="18"/>
        <rFont val="Times New Roman CE"/>
        <family val="1"/>
        <charset val="238"/>
      </rPr>
      <t xml:space="preserve">). </t>
    </r>
  </si>
  <si>
    <t xml:space="preserve">Koszty związane z utrzymaniem cmentarza komunalnego                       </t>
  </si>
  <si>
    <t>energia elektryczna</t>
  </si>
  <si>
    <t>ogrzewanie budynków (zakup energii cieplnej, gaz)</t>
  </si>
  <si>
    <t>przeglądy kominów i instalacji gazowej i elektrycznej, przeglądy gaśnic, hydrantów, przeglądy systemu alarmowego i klimatyzacji</t>
  </si>
  <si>
    <t xml:space="preserve">wywóz nieczystości stałych i dzierżawa kontenerów na śmieci </t>
  </si>
  <si>
    <t xml:space="preserve">konserwacja, serwis posiadanego oprogramowania, nadzór eksploatacyjny, abonament BIP </t>
  </si>
  <si>
    <t xml:space="preserve">wydatki rzeczowe związane z organizacją spotkań i uroczystości (art. spożywcze, kwiaty) </t>
  </si>
  <si>
    <t xml:space="preserve">paliwo, oleje, części zamienne do samochodów </t>
  </si>
  <si>
    <t xml:space="preserve">opłaty za telefony komórkowe </t>
  </si>
  <si>
    <t xml:space="preserve">ubezpieczenia budynków, mienia, samochodów, kierowców </t>
  </si>
  <si>
    <t xml:space="preserve">Umowy zlecenia, umowy o dzieło, usługi obejmujące wykonanie ekspertyz, analiz, opinii </t>
  </si>
  <si>
    <t xml:space="preserve">Wydawanie Biuletynu Informacyjnego Urzędu Miejskiego </t>
  </si>
  <si>
    <t>koszty związane z egzekucją zaległych opłat, niepodatkowych należności budżetowych, należności cywilnoprawnych, opłaty sądowe</t>
  </si>
  <si>
    <t>Rozbudowa monitoringu miejskiego</t>
  </si>
  <si>
    <r>
      <t xml:space="preserve">Dotacja dla </t>
    </r>
    <r>
      <rPr>
        <b/>
        <sz val="18"/>
        <rFont val="Times New Roman"/>
        <family val="1"/>
        <charset val="238"/>
      </rPr>
      <t>Przedszkola Prywatnego "Casper"</t>
    </r>
  </si>
  <si>
    <t xml:space="preserve">Pokrycie kosztów pobytu mieszkańców gminy Łęczna w DPS - zakup usług przez jednostki samorządu terytorialnego od innych jednostek samorządu terytorialnego </t>
  </si>
  <si>
    <t xml:space="preserve">w tym środki na organizację następujących imprez kulturalnych: </t>
  </si>
  <si>
    <t xml:space="preserve">Zakup materiałów i usług niezbędnych do prac referatu jako zarządcy dróg gminnych: pachołki, znaki drogowe pionowe, zastawy, taśmy, tablice informacyjne, farba do odnawiania znaków i słupków, usługi sprzętu i maszyn na drogach gminnych, koszenie poboczy dróg gminnych, usługi remontowe, zakup kruszywa, asfaltu itp. </t>
  </si>
  <si>
    <r>
      <t xml:space="preserve">Dotacje dla osób fizycznych na zadanie modernizacyjne i inwestycyjne służące ochronie środowiska związane z likwidacją pokryć dachowych i/lub elewacji wykonanych z materiałów zawierających azbest - </t>
    </r>
    <r>
      <rPr>
        <b/>
        <sz val="18"/>
        <rFont val="Times New Roman"/>
        <family val="1"/>
        <charset val="238"/>
      </rPr>
      <t>wydatki realizowane z opłat i kar za gospodarcze korzystanie ze środowiska</t>
    </r>
  </si>
  <si>
    <t>Zakup odzieży ochronnej, sprzętu bhp, środków czystości oraz napojów dla pracowników zatrudnionych w referacie</t>
  </si>
  <si>
    <t>Utrzymanie kanalizacji deszczowej na terenie miasta (naprawy bieżące, konserwacja, usuwanie awarii, czyszczenie wpustów ulicznych itp.)</t>
  </si>
  <si>
    <t xml:space="preserve">Organizacja terenów rekreacyjnych (zakupy, naprawy, konserwacja: ławek ulicznych, urządzeń, elementów małej     architektury, urządzanie nowych obiektów rekreacyjno - sportowych). </t>
  </si>
  <si>
    <r>
      <t xml:space="preserve">Wydatki związane z ochroną środowiska i edukacją ekologiczną- </t>
    </r>
    <r>
      <rPr>
        <b/>
        <sz val="18"/>
        <rFont val="Times New Roman"/>
        <family val="1"/>
        <charset val="238"/>
      </rPr>
      <t>wydatki realizowane z opłat i kar za gospodarcze korzystanie ze środowiska</t>
    </r>
  </si>
  <si>
    <t xml:space="preserve">Koszty związane z poborem podatków, opłat i niepodatkowych należności budżetowych </t>
  </si>
  <si>
    <r>
      <rPr>
        <b/>
        <sz val="18"/>
        <color indexed="8"/>
        <rFont val="Times New Roman"/>
        <family val="1"/>
        <charset val="238"/>
      </rPr>
      <t>Zarządzanie nieruchomościami</t>
    </r>
    <r>
      <rPr>
        <sz val="18"/>
        <color indexed="8"/>
        <rFont val="Times New Roman"/>
        <family val="1"/>
        <charset val="238"/>
      </rPr>
      <t xml:space="preserve"> - lokalami i budynkami stanowiącymi własność gminy Łęczna </t>
    </r>
  </si>
  <si>
    <t xml:space="preserve">Wykup nieruchomości pod planowane inwestycje gminne </t>
  </si>
  <si>
    <t xml:space="preserve">Koszty sądowe i egzekucyjne dot.eksmisji najemców lokali </t>
  </si>
  <si>
    <t>Odszkodowania za działki wydzielone pod drogi z nieruchomości objętych podziałem na wniosek właściciela</t>
  </si>
  <si>
    <t xml:space="preserve">prasa, czasopisma, wydawnictwa, poradniki </t>
  </si>
  <si>
    <r>
      <t xml:space="preserve">Realizacja działań związanych z profilaktyką i rozwiązywaniem problemów alkoholowych - w tym prowadzenie profilaktycznej działalności informacyjnej i edukacyjnej w zakresie rozwiązywania problemów alkoholowych i przeciwdziałania narkomanii, w  szczególności dla dzieci i młodzieży; realizacja programów zagospodarowania czasu wolnego dzieci i młodzieży, programów promujących zdrowy styl życia - </t>
    </r>
    <r>
      <rPr>
        <b/>
        <sz val="18"/>
        <rFont val="Times New Roman"/>
        <family val="1"/>
        <charset val="238"/>
      </rPr>
      <t xml:space="preserve"> zadanie realizowane przez MOPS w Łęcznej.</t>
    </r>
  </si>
  <si>
    <r>
      <t xml:space="preserve">Realizacja programu profilaktycznego - pomoc finansowa dla Powiatu Łęczyńskiego z przeznaczeniem na realizację zadań przez </t>
    </r>
    <r>
      <rPr>
        <b/>
        <sz val="18"/>
        <rFont val="Times New Roman"/>
        <family val="1"/>
        <charset val="238"/>
      </rPr>
      <t>PCPR</t>
    </r>
  </si>
  <si>
    <t>Realizacja przedszkolnych i szkolnych programów profilaktycznych. Zadanie realizowane przez przedszkola i szkoły z terenu Gminy Łęczna</t>
  </si>
  <si>
    <t>Utrzymanie świetlic wiejskich - zakupy</t>
  </si>
  <si>
    <t>Bieżące utrzymanie monitoringu (konserwacja, naprawa, ubezpieczenie, energia elektryczna, itp.)</t>
  </si>
  <si>
    <t>Organizacja przez Urząd Miejski w Łęcznej prac społecznie użytecznych - świadczenie pieniężne dla 10 osób</t>
  </si>
  <si>
    <t xml:space="preserve">Odpis z podatku rolnego na funkcjonowanie izb rolniczych           </t>
  </si>
  <si>
    <t>a)</t>
  </si>
  <si>
    <t>b)</t>
  </si>
  <si>
    <t>c)</t>
  </si>
  <si>
    <t>d)</t>
  </si>
  <si>
    <t>Utrzymanie stron internetowych rad osiedli Gminy Łęczna</t>
  </si>
  <si>
    <t>Realizacja pozalekcyjnych zajęć sportowych w ramach szkolnych programów profilaktycznych</t>
  </si>
  <si>
    <t>Wieczór Teatrów Różnych</t>
  </si>
  <si>
    <t>Ochrona zabytków i opieka nad zabytkami</t>
  </si>
  <si>
    <r>
      <t>Przegląd Hejnałów, Święto Narodowe 3-go Maja, Narodowe Święto Niepodległości, zakup kwiatów na uroczystości, współpraca z Radami Osiedli i Sołectwami</t>
    </r>
    <r>
      <rPr>
        <i/>
        <sz val="18"/>
        <rFont val="Times New Roman"/>
        <family val="1"/>
        <charset val="238"/>
      </rPr>
      <t xml:space="preserve"> (w tym: wynagrodzenie hejnalisty - 750 zł)</t>
    </r>
  </si>
  <si>
    <t>Pasternik 15</t>
  </si>
  <si>
    <t>Szkoła Podstawowa Nr 2 w Łęcznej:</t>
  </si>
  <si>
    <t>Szkoła Podstawowa Nr 2 w Łęcznej</t>
  </si>
  <si>
    <r>
      <t xml:space="preserve">Środki dla </t>
    </r>
    <r>
      <rPr>
        <b/>
        <u/>
        <sz val="18"/>
        <rFont val="Times New Roman"/>
        <family val="1"/>
        <charset val="238"/>
      </rPr>
      <t>Szkoły Podstawowej Nr 2 w Łęczne</t>
    </r>
    <r>
      <rPr>
        <b/>
        <sz val="18"/>
        <rFont val="Times New Roman"/>
        <family val="1"/>
        <charset val="238"/>
      </rPr>
      <t xml:space="preserve">j - </t>
    </r>
    <r>
      <rPr>
        <sz val="18"/>
        <rFont val="Times New Roman"/>
        <family val="1"/>
        <charset val="238"/>
      </rPr>
      <t>Rehabilitacja ruchowa dzieci na basenie</t>
    </r>
  </si>
  <si>
    <t>e)</t>
  </si>
  <si>
    <t>f)</t>
  </si>
  <si>
    <t>g)</t>
  </si>
  <si>
    <t>h)</t>
  </si>
  <si>
    <t>i)</t>
  </si>
  <si>
    <t>Zadania realizowane przez MOPS w Łęcznej</t>
  </si>
  <si>
    <t>Realizacja zadań wymagających stosowania specjalnej organizacji nauki i metod pracy dla dzieci w przedszkolach, oddziałach przedszkolnych w szkołach podstawowych i innych formach wychowania przedszkolnego</t>
  </si>
  <si>
    <t xml:space="preserve">Pokrycie kosztów wychowania przedszkolnego ucznia (mieszkańca Gminy Łęczna) uczęszczającego do przedszkola publicznego lub publicznej innej formy wychowania przedszkolnego, prowadzonego przez inną jst - zgodnie z art. 79a ustawy o systemie oświaty </t>
  </si>
  <si>
    <t xml:space="preserve">Pokrycie kosztów dotacji udzielonej przez jst (inną niż Gmina Łęczna) na ucznia będącego mieszkańcem Gminy Łęczna a uczęszczającego do przedszkola prowadzonego przez organ inny niż jednostka samorządu terytorialnego - zgodnie z art. 80 ust. 2a ustawy o systemie oświaty </t>
  </si>
  <si>
    <r>
      <t>Przeprowadzenie warsztatów edukacyjnych dla dzieci i młodzieży z terenu Gminy Łęczna</t>
    </r>
    <r>
      <rPr>
        <i/>
        <sz val="18"/>
        <rFont val="Times New Roman"/>
        <family val="1"/>
        <charset val="238"/>
      </rPr>
      <t xml:space="preserve"> </t>
    </r>
  </si>
  <si>
    <t>Obsługa bankowa jednostek organizacyjnych gminy (szkoły, przedszkola, ZOSziP)</t>
  </si>
  <si>
    <r>
      <t xml:space="preserve">Kredyt z </t>
    </r>
    <r>
      <rPr>
        <b/>
        <sz val="18"/>
        <rFont val="Times New Roman"/>
        <family val="1"/>
        <charset val="238"/>
      </rPr>
      <t>BRE Banku S.A.</t>
    </r>
    <r>
      <rPr>
        <sz val="18"/>
        <rFont val="Times New Roman"/>
        <family val="1"/>
        <charset val="238"/>
      </rPr>
      <t xml:space="preserve"> z przeznaczeniem na finansowanie planowanego deficytu budżetu Gminy Łęczna w roku 2011:</t>
    </r>
  </si>
  <si>
    <r>
      <t xml:space="preserve">Kredyt z </t>
    </r>
    <r>
      <rPr>
        <b/>
        <sz val="18"/>
        <rFont val="Times New Roman"/>
        <family val="1"/>
        <charset val="238"/>
      </rPr>
      <t>BRE Banku S.A.</t>
    </r>
    <r>
      <rPr>
        <sz val="18"/>
        <rFont val="Times New Roman"/>
        <family val="1"/>
        <charset val="238"/>
      </rPr>
      <t xml:space="preserve"> z przeznaczeniem na finansowanie planowanego deficytu budżetu Gminy Łęczna w roku 2012:</t>
    </r>
  </si>
  <si>
    <t>1. Wynagrodzenia osobowe pracowników</t>
  </si>
  <si>
    <t>Zakup środków ochrony indywidualnej: odzież ochronna, refundacja zakupów okularów, itp.</t>
  </si>
  <si>
    <t xml:space="preserve">inkaso dla sołtysów i inkasentów oraz wydatki związane z doręczeniem nakazów podatkowych </t>
  </si>
  <si>
    <r>
      <rPr>
        <b/>
        <sz val="18"/>
        <rFont val="Times New Roman"/>
        <family val="1"/>
        <charset val="238"/>
      </rPr>
      <t>Wydatki na realizację zadania zleconego z zakresu administracji rządowej z przeznaczeniem na wydatki</t>
    </r>
    <r>
      <rPr>
        <sz val="18"/>
        <rFont val="Times New Roman"/>
        <family val="1"/>
        <charset val="238"/>
      </rPr>
      <t xml:space="preserve"> bieżące Środowiskowego Domu Samopomocy w Łęcznej  </t>
    </r>
  </si>
  <si>
    <t>- pokrycie kosztów pogrzebu</t>
  </si>
  <si>
    <t>Wydatki związane z opieką nad bezdomnymi kotami  - zakup karmy, sterylizacja kocic itp.</t>
  </si>
  <si>
    <t xml:space="preserve">Fontanny miejskie - opłata za pobór wody, materiały eksploatacyjne,  naprawy pomp  </t>
  </si>
  <si>
    <t>Opracowanie Gminnego Programu Opieki nad Zabytkami</t>
  </si>
  <si>
    <t>Podatek od nieruchomości od gruntów pod drogami, podatek leśny</t>
  </si>
  <si>
    <t>Realizacja zadań własnych gminy w zakresie gospodarki odpadami komunalnymi, określonymi w ustawie z dnia 13 września 1996 roku o utrzymaniu czystości i porządku w gminach</t>
  </si>
  <si>
    <r>
      <t xml:space="preserve">Zmiana miejscowych planów zagospodarowania przestrzennego Miasta Łęczna i terenów wiejskich Gminy Łęczna - </t>
    </r>
    <r>
      <rPr>
        <b/>
        <sz val="18"/>
        <color indexed="8"/>
        <rFont val="Times New Roman"/>
        <family val="1"/>
        <charset val="238"/>
      </rPr>
      <t>WPF - wydatki bieżące</t>
    </r>
  </si>
  <si>
    <r>
      <t>Kredyt z</t>
    </r>
    <r>
      <rPr>
        <b/>
        <sz val="18"/>
        <rFont val="Times New Roman"/>
        <family val="1"/>
        <charset val="238"/>
      </rPr>
      <t xml:space="preserve"> BGK </t>
    </r>
    <r>
      <rPr>
        <sz val="18"/>
        <rFont val="Times New Roman"/>
        <family val="1"/>
        <charset val="238"/>
      </rPr>
      <t>przeznaczeniem na finansowanie planowanego deficytu budżetu Gminy Łęczna w roku 2015:</t>
    </r>
  </si>
  <si>
    <t>Podróże służbowe pracowników samorządowych i pracowników administracji rządowej, ryczałty samochodowe pracowników - do tej grupy wydatków nie wlicza się kosztów dojazdu, zakwaterowania i wyżywienia uczestników w ramach szkoleń</t>
  </si>
  <si>
    <r>
      <t xml:space="preserve">Przebudowa budynku spichlerza w Podzamczu na potrzeby Środowiskowego Domu Samopomocy  - </t>
    </r>
    <r>
      <rPr>
        <b/>
        <sz val="18"/>
        <rFont val="Times New Roman"/>
        <family val="1"/>
        <charset val="238"/>
      </rPr>
      <t>WPF</t>
    </r>
  </si>
  <si>
    <t>Pasternik 13</t>
  </si>
  <si>
    <t>Plac Kościuszki 1</t>
  </si>
  <si>
    <t>Rynek III 34</t>
  </si>
  <si>
    <t>Utrzymanie magazynków, doposażenie i konserwacja sprzętu oc</t>
  </si>
  <si>
    <t>j)</t>
  </si>
  <si>
    <t>k)</t>
  </si>
  <si>
    <r>
      <t xml:space="preserve">Dotacja na sfinansowanie prac konserwatorskich, restauratorskich lub robót budowlanych przy zabytkach wpisanych do rejestru zabytków </t>
    </r>
    <r>
      <rPr>
        <i/>
        <sz val="18"/>
        <rFont val="Times New Roman"/>
        <family val="1"/>
        <charset val="238"/>
      </rPr>
      <t>(wniosek Parafii p.w. Marii Magdaleny w Łęcznej)</t>
    </r>
  </si>
  <si>
    <t>woda i odprowadzanie ścieków</t>
  </si>
  <si>
    <t>materiały biurowe, tonery, druki, pieczęcie, papier firmowy</t>
  </si>
  <si>
    <t xml:space="preserve">naprawy, przeglądy, konserwacja urządzeń biurowych </t>
  </si>
  <si>
    <t>Przedszkole Publiczne Nr 4 w Łęcznej</t>
  </si>
  <si>
    <t>Zadania w zakresie przeciwdziałania przemocy w rodzinie</t>
  </si>
  <si>
    <t>Pomoc w zakresie dożywiania</t>
  </si>
  <si>
    <t>RODZINA</t>
  </si>
  <si>
    <t>Świadczenie wychowawcze</t>
  </si>
  <si>
    <t>Wspólna obsługa jednostek samorządu terytorialnego</t>
  </si>
  <si>
    <t>Ekwiwalent z tytułu prania odzieży dla Straży Miejskiej w Łęcznej, środki bhp, okulary korekcyjne, kaski itp.</t>
  </si>
  <si>
    <t>Inne formy wychowania przedszkolnego</t>
  </si>
  <si>
    <r>
      <t xml:space="preserve">Dotacja dla </t>
    </r>
    <r>
      <rPr>
        <b/>
        <sz val="18"/>
        <rFont val="Times New Roman"/>
        <family val="1"/>
        <charset val="238"/>
      </rPr>
      <t>Przedszkola Prywatnego "Aniołek"</t>
    </r>
  </si>
  <si>
    <r>
      <rPr>
        <b/>
        <sz val="18"/>
        <rFont val="Times New Roman"/>
        <family val="1"/>
        <charset val="238"/>
      </rPr>
      <t>Środki samorządowe</t>
    </r>
    <r>
      <rPr>
        <sz val="18"/>
        <rFont val="Times New Roman"/>
        <family val="1"/>
        <charset val="238"/>
      </rPr>
      <t xml:space="preserve"> dla</t>
    </r>
    <r>
      <rPr>
        <b/>
        <sz val="18"/>
        <rFont val="Times New Roman"/>
        <family val="1"/>
        <charset val="238"/>
      </rPr>
      <t xml:space="preserve"> Miejskiego Ośrodka Pomocy Społecznej w Łęcznej </t>
    </r>
    <r>
      <rPr>
        <sz val="18"/>
        <rFont val="Times New Roman"/>
        <family val="1"/>
        <charset val="238"/>
      </rPr>
      <t xml:space="preserve"> na pokrycie wydatków związanych z realizacją ustawy o wspieraniu rodziny i systemie pieczy zastępczej</t>
    </r>
  </si>
  <si>
    <r>
      <rPr>
        <b/>
        <sz val="18"/>
        <rFont val="Times New Roman"/>
        <family val="1"/>
        <charset val="238"/>
      </rPr>
      <t>Środki samorządowe</t>
    </r>
    <r>
      <rPr>
        <sz val="18"/>
        <rFont val="Times New Roman"/>
        <family val="1"/>
        <charset val="238"/>
      </rPr>
      <t xml:space="preserve"> na pokrycie kosztów funkcjonowania </t>
    </r>
    <r>
      <rPr>
        <b/>
        <sz val="18"/>
        <rFont val="Times New Roman"/>
        <family val="1"/>
        <charset val="238"/>
      </rPr>
      <t>Miejskiego Ośrodka Pomocy Społecznej w Łęcznej</t>
    </r>
    <r>
      <rPr>
        <sz val="18"/>
        <rFont val="Times New Roman"/>
        <family val="1"/>
        <charset val="238"/>
      </rPr>
      <t xml:space="preserve"> (obsługa funduszu alimentacyjnego)</t>
    </r>
  </si>
  <si>
    <r>
      <rPr>
        <b/>
        <sz val="18"/>
        <rFont val="Times New Roman"/>
        <family val="1"/>
        <charset val="238"/>
      </rPr>
      <t>Wydatki na realizację zadania zleconego z zakresu administracji rządowej</t>
    </r>
    <r>
      <rPr>
        <sz val="18"/>
        <rFont val="Times New Roman"/>
        <family val="1"/>
        <charset val="238"/>
      </rPr>
      <t xml:space="preserve"> dla</t>
    </r>
    <r>
      <rPr>
        <b/>
        <sz val="18"/>
        <rFont val="Times New Roman"/>
        <family val="1"/>
        <charset val="238"/>
      </rPr>
      <t xml:space="preserve"> Miejskiego Ośrodka Pomocy Społecznej w Łęcznej</t>
    </r>
    <r>
      <rPr>
        <sz val="18"/>
        <rFont val="Times New Roman"/>
        <family val="1"/>
        <charset val="238"/>
      </rPr>
      <t xml:space="preserve"> z przeznaczeniem na wypłatę świadczeń rodzinnych oraz na wypłatę alimentów z funduszu alimentacyjnego </t>
    </r>
  </si>
  <si>
    <r>
      <t xml:space="preserve">Wydatki na realizację zadania zleconego z zakresu administracji rządowej </t>
    </r>
    <r>
      <rPr>
        <sz val="18"/>
        <rFont val="Times New Roman"/>
        <family val="1"/>
        <charset val="238"/>
      </rPr>
      <t>dla</t>
    </r>
    <r>
      <rPr>
        <b/>
        <sz val="18"/>
        <rFont val="Times New Roman"/>
        <family val="1"/>
        <charset val="238"/>
      </rPr>
      <t xml:space="preserve"> Miejskiego Ośrodka Pomocy Społecznej w Łęcznej </t>
    </r>
    <r>
      <rPr>
        <sz val="18"/>
        <rFont val="Times New Roman"/>
        <family val="1"/>
        <charset val="238"/>
      </rPr>
      <t>z przeznaczeniem na wypłatę świadczeń wychowawczych</t>
    </r>
  </si>
  <si>
    <r>
      <rPr>
        <b/>
        <sz val="18"/>
        <rFont val="Times New Roman"/>
        <family val="1"/>
        <charset val="238"/>
      </rPr>
      <t>Środki samorządowe</t>
    </r>
    <r>
      <rPr>
        <sz val="18"/>
        <rFont val="Times New Roman"/>
        <family val="1"/>
        <charset val="238"/>
      </rPr>
      <t xml:space="preserve">  dla </t>
    </r>
    <r>
      <rPr>
        <b/>
        <sz val="18"/>
        <rFont val="Times New Roman"/>
        <family val="1"/>
        <charset val="238"/>
      </rPr>
      <t>Miejskiego Ośrodka Pomocy Społecznej w Łęcznej</t>
    </r>
    <r>
      <rPr>
        <sz val="18"/>
        <rFont val="Times New Roman"/>
        <family val="1"/>
        <charset val="238"/>
      </rPr>
      <t xml:space="preserve"> na pokrycie kosztów dożywiania</t>
    </r>
  </si>
  <si>
    <r>
      <t xml:space="preserve">Wydatki na realizację programu </t>
    </r>
    <r>
      <rPr>
        <b/>
        <sz val="18"/>
        <rFont val="Times New Roman"/>
        <family val="1"/>
        <charset val="238"/>
      </rPr>
      <t>"Pomoc państwa w zakresie dożywiania"</t>
    </r>
    <r>
      <rPr>
        <sz val="18"/>
        <rFont val="Times New Roman"/>
        <family val="1"/>
        <charset val="238"/>
      </rPr>
      <t xml:space="preserve"> w ramach dotacji z Lubelskiego Urzędu Wojewódzkiego dla </t>
    </r>
    <r>
      <rPr>
        <b/>
        <sz val="18"/>
        <rFont val="Times New Roman"/>
        <family val="1"/>
        <charset val="238"/>
      </rPr>
      <t>Miejskiego Ośrodka Pomocy Społecznej w Łęcznej.</t>
    </r>
  </si>
  <si>
    <r>
      <rPr>
        <b/>
        <sz val="18"/>
        <rFont val="Times New Roman"/>
        <family val="1"/>
        <charset val="238"/>
      </rPr>
      <t>Środki samorządowe</t>
    </r>
    <r>
      <rPr>
        <sz val="18"/>
        <rFont val="Times New Roman"/>
        <family val="1"/>
        <charset val="238"/>
      </rPr>
      <t xml:space="preserve"> na pokrycie kosztów funkcjonowania </t>
    </r>
    <r>
      <rPr>
        <b/>
        <sz val="18"/>
        <rFont val="Times New Roman"/>
        <family val="1"/>
        <charset val="238"/>
      </rPr>
      <t>Miejskiego Ośrodka Pomocy Społecznej w Łęcznej</t>
    </r>
  </si>
  <si>
    <r>
      <rPr>
        <b/>
        <sz val="18"/>
        <rFont val="Times New Roman"/>
        <family val="1"/>
        <charset val="238"/>
      </rPr>
      <t>Środki na zadania własne pozyskane z Lubelskiego Urzędu Wojewódzkiego w Lublinie</t>
    </r>
    <r>
      <rPr>
        <sz val="18"/>
        <rFont val="Times New Roman"/>
        <family val="1"/>
        <charset val="238"/>
      </rPr>
      <t xml:space="preserve"> dla </t>
    </r>
    <r>
      <rPr>
        <b/>
        <sz val="18"/>
        <rFont val="Times New Roman"/>
        <family val="1"/>
        <charset val="238"/>
      </rPr>
      <t>Miejskiego Ośrodka Pomocy Społecznej w Łęcznej</t>
    </r>
    <r>
      <rPr>
        <sz val="18"/>
        <rFont val="Times New Roman"/>
        <family val="1"/>
        <charset val="238"/>
      </rPr>
      <t xml:space="preserve"> na pokrycie kosztów funkcjonowania Miejskiego Ośrodka Pomocy Społecznej w Łęcznej </t>
    </r>
    <r>
      <rPr>
        <b/>
        <sz val="18"/>
        <color indexed="10"/>
        <rFont val="Times New Roman"/>
        <family val="1"/>
        <charset val="238"/>
      </rPr>
      <t xml:space="preserve"> </t>
    </r>
  </si>
  <si>
    <r>
      <t xml:space="preserve">Wydatki na realizację zadań własnych dofinansowywanych z budżetu państwa - </t>
    </r>
    <r>
      <rPr>
        <sz val="18"/>
        <rFont val="Times New Roman"/>
        <family val="1"/>
        <charset val="238"/>
      </rPr>
      <t>wypłata zasiłków stałych dla podopiecznych MOPS; wydatki realizowane przez</t>
    </r>
    <r>
      <rPr>
        <b/>
        <sz val="18"/>
        <rFont val="Times New Roman"/>
        <family val="1"/>
        <charset val="238"/>
      </rPr>
      <t xml:space="preserve"> MOPS w Łęcznej</t>
    </r>
  </si>
  <si>
    <r>
      <rPr>
        <b/>
        <sz val="18"/>
        <rFont val="Times New Roman"/>
        <family val="1"/>
        <charset val="238"/>
      </rPr>
      <t>Środki samorządowe</t>
    </r>
    <r>
      <rPr>
        <sz val="18"/>
        <rFont val="Times New Roman"/>
        <family val="1"/>
        <charset val="238"/>
      </rPr>
      <t xml:space="preserve">  dla </t>
    </r>
    <r>
      <rPr>
        <b/>
        <sz val="18"/>
        <rFont val="Times New Roman"/>
        <family val="1"/>
        <charset val="238"/>
      </rPr>
      <t>Miejskiego Ośrodka Pomocy Społecznej w Łęcznej</t>
    </r>
    <r>
      <rPr>
        <sz val="18"/>
        <rFont val="Times New Roman"/>
        <family val="1"/>
        <charset val="238"/>
      </rPr>
      <t xml:space="preserve"> na wypłatę zasiłków,</t>
    </r>
  </si>
  <si>
    <r>
      <rPr>
        <b/>
        <sz val="18"/>
        <rFont val="Times New Roman"/>
        <family val="1"/>
        <charset val="238"/>
      </rPr>
      <t>Wydatki na realizację zadania zleconego z zakresu administracji rządowej</t>
    </r>
    <r>
      <rPr>
        <sz val="18"/>
        <rFont val="Times New Roman"/>
        <family val="1"/>
        <charset val="238"/>
      </rPr>
      <t xml:space="preserve"> z przeznaczeniem na odprowadzenie składek do ZUS; wydatki realizowane przez </t>
    </r>
    <r>
      <rPr>
        <b/>
        <sz val="18"/>
        <rFont val="Times New Roman"/>
        <family val="1"/>
        <charset val="238"/>
      </rPr>
      <t>MOPS w Łęcznej</t>
    </r>
  </si>
  <si>
    <r>
      <rPr>
        <b/>
        <sz val="18"/>
        <rFont val="Times New Roman"/>
        <family val="1"/>
        <charset val="238"/>
      </rPr>
      <t xml:space="preserve">Wydatki na realizację zadań własnych dofinansowywanych z budżetu państwa - </t>
    </r>
    <r>
      <rPr>
        <sz val="18"/>
        <rFont val="Times New Roman"/>
        <family val="1"/>
        <charset val="238"/>
      </rPr>
      <t>ubezpieczenie zdrowotne od zasiłków stałych; wydatki realizowane przez</t>
    </r>
    <r>
      <rPr>
        <b/>
        <sz val="18"/>
        <rFont val="Times New Roman"/>
        <family val="1"/>
        <charset val="238"/>
      </rPr>
      <t xml:space="preserve"> MOPS w Łęcznej </t>
    </r>
  </si>
  <si>
    <r>
      <t xml:space="preserve">Środki samorządowe dla </t>
    </r>
    <r>
      <rPr>
        <b/>
        <sz val="18"/>
        <rFont val="Times New Roman"/>
        <family val="1"/>
        <charset val="238"/>
      </rPr>
      <t>Miejskiego Ośrodka Pomocy Społecznej w Łęcznej</t>
    </r>
  </si>
  <si>
    <t>Przedszkole Publiczne Nr 1 w Łęcznej</t>
  </si>
  <si>
    <t>Szkoła Podstawowa Nr 4 w Łęcznej:</t>
  </si>
  <si>
    <t>Szkoła Podstawowa Nr 4 w Łęcznej</t>
  </si>
  <si>
    <t>Realizacja zadań wymagających stosowania specjalnej organizacji nauki i metod pracy dla dzieci i młodzieży w  gimnazjach i klasach dotychczasowego gimnazjum prowadzonych w innych typach szkół, liceach ogólnokształcacych, technikach, branżowych szkołach I stopnia i klasach dotychczasowej zasadniczej szkoły zawodowej prowadzonych w branżowych szkołach I stopnia oraz szkołach artystycznych</t>
  </si>
  <si>
    <t>Realizacja zadań wymagających stosowania specjalnej organizacji nauki i metod pracy dla dzieci i młodzieży w szkołach podstawowych</t>
  </si>
  <si>
    <r>
      <t xml:space="preserve">Przebudowa ulicy Pasternik i Przemysłowej - </t>
    </r>
    <r>
      <rPr>
        <b/>
        <sz val="18"/>
        <rFont val="Times New Roman CE"/>
        <charset val="238"/>
      </rPr>
      <t xml:space="preserve">WPF </t>
    </r>
  </si>
  <si>
    <r>
      <t xml:space="preserve">Rewitalizacja Starego Miasta w Łecznej - II etap. Przebudowa budynku mieszkalno-usługowego przy Rynku II - </t>
    </r>
    <r>
      <rPr>
        <b/>
        <sz val="18"/>
        <color indexed="8"/>
        <rFont val="Times New Roman"/>
        <family val="1"/>
        <charset val="238"/>
      </rPr>
      <t>WPF</t>
    </r>
  </si>
  <si>
    <t>E</t>
  </si>
  <si>
    <r>
      <t xml:space="preserve">Ochrona zasobów dziedzictwa kulturowego na terenie zespołu dworsko-parkowego Podzamcze (ruiny) - </t>
    </r>
    <r>
      <rPr>
        <b/>
        <sz val="18"/>
        <rFont val="Times New Roman"/>
        <family val="1"/>
        <charset val="238"/>
      </rPr>
      <t>WPF</t>
    </r>
  </si>
  <si>
    <r>
      <t xml:space="preserve">Dotacja dla Centrum Kultury w Łęcznej </t>
    </r>
    <r>
      <rPr>
        <sz val="18"/>
        <rFont val="Times New Roman"/>
        <family val="1"/>
        <charset val="238"/>
      </rPr>
      <t xml:space="preserve">na działalność bieżącą </t>
    </r>
  </si>
  <si>
    <t>Jarmark Łęczyński</t>
  </si>
  <si>
    <t>XIV Ogólnopolski Turniej Tańca Nowoczesnego o Puchar Burmistrza Łęcznej</t>
  </si>
  <si>
    <r>
      <t>Organizacja i przeprowadzenie zajęć sportowo - rekreacyjnych na obiekcie "Moje Boisko Orlik 2012" w okresie od 1 marca do 30 listopada</t>
    </r>
    <r>
      <rPr>
        <i/>
        <sz val="18"/>
        <rFont val="Times New Roman"/>
        <family val="1"/>
        <charset val="238"/>
      </rPr>
      <t xml:space="preserve"> (2 instruktorów, 30 zł/h realizacji)</t>
    </r>
  </si>
  <si>
    <r>
      <rPr>
        <b/>
        <sz val="18"/>
        <rFont val="Times New Roman"/>
        <family val="1"/>
        <charset val="238"/>
      </rPr>
      <t>Fundusz sołecki - Sołectwo Karolin</t>
    </r>
    <r>
      <rPr>
        <sz val="18"/>
        <rFont val="Times New Roman"/>
        <family val="1"/>
        <charset val="238"/>
      </rPr>
      <t xml:space="preserve"> - zakup łodzi ratunkowej płaskodennej wraz z przyczepą transportową</t>
    </r>
  </si>
  <si>
    <t>Szkolenia pracowników (w tym umowy zlecenia i umowy o dzieło, których przedmiotem są szkolenia pracowników oraz koszty dojazdów, zakwaterowania i wyżywienia uczestników szkoleń, dofinansowanie do studiów)</t>
  </si>
  <si>
    <t>F</t>
  </si>
  <si>
    <r>
      <t xml:space="preserve">Dotacja dla </t>
    </r>
    <r>
      <rPr>
        <b/>
        <sz val="18"/>
        <rFont val="Times New Roman"/>
        <family val="1"/>
        <charset val="238"/>
      </rPr>
      <t>Przedszkola Niepublicznego "Aniołek"</t>
    </r>
  </si>
  <si>
    <t>Tworzenie i funkcjonowanie żłobków</t>
  </si>
  <si>
    <r>
      <t xml:space="preserve">Dotacja dla </t>
    </r>
    <r>
      <rPr>
        <b/>
        <sz val="18"/>
        <rFont val="Times New Roman"/>
        <family val="1"/>
        <charset val="238"/>
      </rPr>
      <t>Żłobka "Żółwik"</t>
    </r>
  </si>
  <si>
    <r>
      <t xml:space="preserve">Dotacja dla </t>
    </r>
    <r>
      <rPr>
        <b/>
        <sz val="18"/>
        <rFont val="Times New Roman"/>
        <family val="1"/>
        <charset val="238"/>
      </rPr>
      <t>Żłobka "Casper"</t>
    </r>
  </si>
  <si>
    <r>
      <t xml:space="preserve">Dotacja dla </t>
    </r>
    <r>
      <rPr>
        <b/>
        <sz val="18"/>
        <rFont val="Times New Roman"/>
        <family val="1"/>
        <charset val="238"/>
      </rPr>
      <t>Przedszkola Niepublicznego "Mali odkrywcy"</t>
    </r>
  </si>
  <si>
    <t>G</t>
  </si>
  <si>
    <t>modernizacja oświetlenia awaryjnego w ciągach komunikacyjnych w budynku przy Pl. Kościuszki 5 - zgodnie z zaleceniami pokontrolnymi</t>
  </si>
  <si>
    <t xml:space="preserve"> </t>
  </si>
  <si>
    <t xml:space="preserve">Zimowe utrzymanie dróg i ulic na terenie miasta  i gminy Łęczna w 2018 roku </t>
  </si>
  <si>
    <t>Opłata za trwałe wyłączenie z rolniczego użytkowania gruntu rolnego na terenie miasta</t>
  </si>
  <si>
    <t>Wykonanie oznakowania poziomego miejsc parkingowych dla osób niepełnosprawnych ( zgodnie z Rozporządzeniem Ministra Infrastruktury i Rozwoju z dn. 3 lipca 2015r.)</t>
  </si>
  <si>
    <t>Zakup, uzupełnienie i wymiana oznakowania drogowego  oraz urządzeń bezpieczeństwa ruchu</t>
  </si>
  <si>
    <t>Utrzymanie i urządzanie terenów zieleni  w pasach drogowych dróg gminnych i ciągów komunikacyjnych</t>
  </si>
  <si>
    <t xml:space="preserve">Zimowe utrzymanie chodników i placów na terenie miasta Łęczna w 2018 roku </t>
  </si>
  <si>
    <r>
      <rPr>
        <b/>
        <sz val="18"/>
        <rFont val="Times New Roman"/>
        <family val="1"/>
        <charset val="238"/>
      </rPr>
      <t>Budżet partycypacyjny - Rada Osiedla Słoneczne</t>
    </r>
    <r>
      <rPr>
        <sz val="18"/>
        <rFont val="Times New Roman"/>
        <family val="1"/>
        <charset val="238"/>
      </rPr>
      <t xml:space="preserve"> -  Doposażenie placu zabaw  przy ul. Słonecznej</t>
    </r>
  </si>
  <si>
    <r>
      <rPr>
        <b/>
        <sz val="18"/>
        <rFont val="Times New Roman CE"/>
        <charset val="238"/>
      </rPr>
      <t xml:space="preserve">Fundusz sołecki - Sołectwo  Leopoldów </t>
    </r>
    <r>
      <rPr>
        <sz val="18"/>
        <rFont val="Times New Roman CE"/>
        <family val="1"/>
        <charset val="238"/>
      </rPr>
      <t>- uzupełnienie asfaltu lanego z położeniem na drogę gminną dz. Nr 57</t>
    </r>
  </si>
  <si>
    <r>
      <rPr>
        <b/>
        <sz val="18"/>
        <rFont val="Times New Roman CE"/>
        <charset val="238"/>
      </rPr>
      <t>Fundusz sołecki - Sołectwo Łuszczów Kolonia</t>
    </r>
    <r>
      <rPr>
        <sz val="18"/>
        <rFont val="Times New Roman CE"/>
        <family val="1"/>
        <charset val="238"/>
      </rPr>
      <t xml:space="preserve"> - wykonanie modernizacji drogi gminnej nr 105189L  w miejscowości Łuszczów Kolonia</t>
    </r>
  </si>
  <si>
    <r>
      <rPr>
        <b/>
        <sz val="18"/>
        <rFont val="Times New Roman CE"/>
        <charset val="238"/>
      </rPr>
      <t>Fundusz sołecki - Sołectwo Stara Wieś - Stasin</t>
    </r>
    <r>
      <rPr>
        <sz val="18"/>
        <rFont val="Times New Roman CE"/>
        <family val="1"/>
        <charset val="238"/>
      </rPr>
      <t xml:space="preserve"> - modernizacja drogi gminnej na działkach o nr 667, 697 w technologii asfaltu lanego w miejscowości Stara Wieś - Stasin </t>
    </r>
  </si>
  <si>
    <r>
      <rPr>
        <b/>
        <sz val="18"/>
        <rFont val="Times New Roman"/>
        <family val="1"/>
        <charset val="238"/>
      </rPr>
      <t>Fundusz Sołecki</t>
    </r>
    <r>
      <rPr>
        <sz val="18"/>
        <rFont val="Times New Roman"/>
        <family val="1"/>
        <charset val="238"/>
      </rPr>
      <t xml:space="preserve"> - </t>
    </r>
    <r>
      <rPr>
        <b/>
        <sz val="18"/>
        <rFont val="Times New Roman"/>
        <family val="1"/>
        <charset val="238"/>
      </rPr>
      <t xml:space="preserve">Sołectwo Rossosz </t>
    </r>
    <r>
      <rPr>
        <sz val="18"/>
        <rFont val="Times New Roman"/>
        <family val="1"/>
        <charset val="238"/>
      </rPr>
      <t>- warsztaty wicia stroików dożynkowych</t>
    </r>
  </si>
  <si>
    <r>
      <rPr>
        <b/>
        <sz val="18"/>
        <rFont val="Times New Roman"/>
        <family val="1"/>
        <charset val="238"/>
      </rPr>
      <t>Fundusz Sołecki</t>
    </r>
    <r>
      <rPr>
        <sz val="18"/>
        <rFont val="Times New Roman"/>
        <family val="1"/>
        <charset val="238"/>
      </rPr>
      <t xml:space="preserve"> - </t>
    </r>
    <r>
      <rPr>
        <b/>
        <sz val="18"/>
        <rFont val="Times New Roman"/>
        <family val="1"/>
        <charset val="238"/>
      </rPr>
      <t xml:space="preserve">Sołectwo Rossosz </t>
    </r>
    <r>
      <rPr>
        <sz val="18"/>
        <rFont val="Times New Roman"/>
        <family val="1"/>
        <charset val="238"/>
      </rPr>
      <t>- zorganizowanie festynu kulturalnego "Sobótka"</t>
    </r>
  </si>
  <si>
    <r>
      <rPr>
        <b/>
        <sz val="18"/>
        <rFont val="Times New Roman"/>
        <family val="1"/>
        <charset val="238"/>
      </rPr>
      <t>Fundusz Sołecki</t>
    </r>
    <r>
      <rPr>
        <sz val="18"/>
        <rFont val="Times New Roman"/>
        <family val="1"/>
        <charset val="238"/>
      </rPr>
      <t xml:space="preserve"> - </t>
    </r>
    <r>
      <rPr>
        <b/>
        <sz val="18"/>
        <rFont val="Times New Roman"/>
        <family val="1"/>
        <charset val="238"/>
      </rPr>
      <t xml:space="preserve">Sołectwo Rossosz </t>
    </r>
    <r>
      <rPr>
        <sz val="18"/>
        <rFont val="Times New Roman"/>
        <family val="1"/>
        <charset val="238"/>
      </rPr>
      <t>- zakup garażu blaszanego (4 m szerokości, 6 m długości, 3-2,5 m wysokości)</t>
    </r>
  </si>
  <si>
    <r>
      <rPr>
        <b/>
        <sz val="18"/>
        <rFont val="Times New Roman CE"/>
        <charset val="238"/>
      </rPr>
      <t xml:space="preserve">Fundusz sołecki - Sołectwo Zofiówka </t>
    </r>
    <r>
      <rPr>
        <sz val="18"/>
        <rFont val="Times New Roman CE"/>
        <family val="1"/>
        <charset val="238"/>
      </rPr>
      <t xml:space="preserve">- remont drogi gminnej nr 105187L w Zofiówce w technologii asfaltu lanego </t>
    </r>
  </si>
  <si>
    <r>
      <rPr>
        <b/>
        <sz val="18"/>
        <rFont val="Times New Roman CE"/>
        <charset val="238"/>
      </rPr>
      <t xml:space="preserve">Fundusz sołecki - Sołectwo Zofiówka </t>
    </r>
    <r>
      <rPr>
        <sz val="18"/>
        <rFont val="Times New Roman CE"/>
        <family val="1"/>
        <charset val="238"/>
      </rPr>
      <t xml:space="preserve">- remont dróg nr 105186L i 105187L  w Zofiówce kruszywem mineralnym </t>
    </r>
  </si>
  <si>
    <r>
      <t xml:space="preserve">Fundusz sołecki - Sołectwo Nowogród -  </t>
    </r>
    <r>
      <rPr>
        <sz val="18"/>
        <rFont val="Times New Roman CE"/>
        <charset val="238"/>
      </rPr>
      <t>naprawa drogi gminnej nr 105187L  za pomocą asfaltu lanego w miejscowości Nowogród</t>
    </r>
  </si>
  <si>
    <r>
      <rPr>
        <b/>
        <sz val="18"/>
        <rFont val="Times New Roman CE"/>
        <charset val="238"/>
      </rPr>
      <t xml:space="preserve">Fundusz sołecki - Sołectwo Ciechanki Łęczyńskie </t>
    </r>
    <r>
      <rPr>
        <sz val="18"/>
        <rFont val="Times New Roman CE"/>
        <family val="1"/>
        <charset val="238"/>
      </rPr>
      <t>-  zakup kruszywa na remont nawierzchni drogi gminnej dz. Nr 88 w Ciechankach Łęczyńskich</t>
    </r>
  </si>
  <si>
    <r>
      <rPr>
        <b/>
        <sz val="18"/>
        <rFont val="Times New Roman CE"/>
        <charset val="238"/>
      </rPr>
      <t>Fundusz sołecki -  Sołectwo Trębaczów</t>
    </r>
    <r>
      <rPr>
        <sz val="18"/>
        <rFont val="Times New Roman CE"/>
        <family val="1"/>
        <charset val="238"/>
      </rPr>
      <t xml:space="preserve"> -  zakup asfaltu lanego  na  drogę gminną  nr 105192L w Trębaczowie</t>
    </r>
  </si>
  <si>
    <r>
      <rPr>
        <b/>
        <sz val="18"/>
        <rFont val="Times New Roman CE"/>
        <charset val="238"/>
      </rPr>
      <t xml:space="preserve">Fundusz sołecki - Sołectwo Piotrówek Drugi </t>
    </r>
    <r>
      <rPr>
        <sz val="18"/>
        <rFont val="Times New Roman CE"/>
        <family val="1"/>
        <charset val="238"/>
      </rPr>
      <t>- zakup kruszywa drogowego na remont drogi gminnej dz. Nr 74 i dz. Nr 90  w Piotrówku Drugim</t>
    </r>
  </si>
  <si>
    <r>
      <rPr>
        <b/>
        <sz val="18"/>
        <rFont val="Times New Roman CE"/>
        <charset val="238"/>
      </rPr>
      <t>Fundusz sołecki - Sołectwo Zakrzów</t>
    </r>
    <r>
      <rPr>
        <sz val="18"/>
        <rFont val="Times New Roman CE"/>
        <family val="1"/>
        <charset val="238"/>
      </rPr>
      <t xml:space="preserve"> - zakup kruszywa mineralnego na drogę nr 105196L w m. Zakrzów </t>
    </r>
  </si>
  <si>
    <r>
      <rPr>
        <b/>
        <sz val="18"/>
        <rFont val="Times New Roman CE"/>
        <charset val="238"/>
      </rPr>
      <t xml:space="preserve">Fundusz sołecki - Sołectwo Stara Wieś - Kolonia </t>
    </r>
    <r>
      <rPr>
        <sz val="18"/>
        <rFont val="Times New Roman CE"/>
        <charset val="238"/>
      </rPr>
      <t xml:space="preserve">-  zakup kruszywa na remont drogi gminnej na działce nr 255 i działce 736 w miejscowości Stara Wieś - Kolonia </t>
    </r>
  </si>
  <si>
    <t>Komendy powiatowe Policji</t>
  </si>
  <si>
    <r>
      <t xml:space="preserve">Fundusz sołecki - Sołectwo Witaniów -  </t>
    </r>
    <r>
      <rPr>
        <sz val="18"/>
        <rFont val="Times New Roman CE"/>
        <charset val="238"/>
      </rPr>
      <t>budowa chodnika przy części asfaltowej drogi gminnej nr 105183L w miejscowości Witaniów</t>
    </r>
  </si>
  <si>
    <r>
      <rPr>
        <b/>
        <sz val="18"/>
        <rFont val="Times New Roman"/>
        <family val="1"/>
        <charset val="238"/>
      </rPr>
      <t xml:space="preserve">Fundusz sołecki - Sołectwo Podzamcze </t>
    </r>
    <r>
      <rPr>
        <sz val="18"/>
        <rFont val="Times New Roman"/>
        <family val="1"/>
        <charset val="238"/>
      </rPr>
      <t>- wykonanie części oświetlenia w zakresie wykonania wykopów z ułożeniem kabli YAKY 4x25mm</t>
    </r>
    <r>
      <rPr>
        <vertAlign val="superscript"/>
        <sz val="18"/>
        <rFont val="Times New Roman"/>
        <family val="1"/>
        <charset val="238"/>
      </rPr>
      <t xml:space="preserve">2 </t>
    </r>
    <r>
      <rPr>
        <sz val="18"/>
        <rFont val="Times New Roman"/>
        <family val="1"/>
        <charset val="238"/>
      </rPr>
      <t>oraz postawieniem fundamentów pod słupy na odcinku SO - 1/1 do 1/11 zgodnie z załącznikiem nr 4 do wniosku (oznaczenia wg Projektu Budowlano - Wykonawczego oświetlenia drogi gminnej 105177L w Podzamczu)</t>
    </r>
  </si>
  <si>
    <r>
      <t xml:space="preserve">Kredyt z </t>
    </r>
    <r>
      <rPr>
        <b/>
        <sz val="18"/>
        <rFont val="Times New Roman"/>
        <family val="1"/>
        <charset val="238"/>
      </rPr>
      <t>BS Łęczna</t>
    </r>
    <r>
      <rPr>
        <sz val="18"/>
        <rFont val="Times New Roman"/>
        <family val="1"/>
        <charset val="238"/>
      </rPr>
      <t xml:space="preserve"> z przeznaczeniem na finansowanie planowanego deficytu budżetu Gminy Łęczna w roku 2017</t>
    </r>
  </si>
  <si>
    <r>
      <t>Kredyt z</t>
    </r>
    <r>
      <rPr>
        <b/>
        <sz val="18"/>
        <rFont val="Times New Roman"/>
        <family val="1"/>
        <charset val="238"/>
      </rPr>
      <t xml:space="preserve"> PKO BP S.A. </t>
    </r>
    <r>
      <rPr>
        <sz val="18"/>
        <rFont val="Times New Roman"/>
        <family val="1"/>
        <charset val="238"/>
      </rPr>
      <t>z</t>
    </r>
    <r>
      <rPr>
        <b/>
        <sz val="18"/>
        <rFont val="Times New Roman"/>
        <family val="1"/>
        <charset val="238"/>
      </rPr>
      <t xml:space="preserve"> </t>
    </r>
    <r>
      <rPr>
        <sz val="18"/>
        <rFont val="Times New Roman"/>
        <family val="1"/>
        <charset val="238"/>
      </rPr>
      <t>przeznaczeniem na finansowanie planowanego deficytu budżetu Gminy Łęczna w roku 2016:</t>
    </r>
  </si>
  <si>
    <t>Zatrudnienie brukarzy do prac na terenie Gminy Łęczna</t>
  </si>
  <si>
    <t>Zatrudnienie pracowników w referacie GKiOŚ do prac przy zieleni miejskiej</t>
  </si>
  <si>
    <r>
      <rPr>
        <b/>
        <sz val="18"/>
        <rFont val="Times New Roman CE"/>
        <charset val="238"/>
      </rPr>
      <t>Fundusz sołecki - Sołectwo Stara Wieś -</t>
    </r>
    <r>
      <rPr>
        <sz val="18"/>
        <rFont val="Times New Roman CE"/>
        <charset val="238"/>
      </rPr>
      <t xml:space="preserve"> remont  drogi   gminnej  na działce Nr 691 asfaltem lanym w m. Stara Wieś</t>
    </r>
  </si>
  <si>
    <t>Wczesne wspomaganie rozwoju dziecka</t>
  </si>
  <si>
    <r>
      <rPr>
        <b/>
        <sz val="18"/>
        <color indexed="8"/>
        <rFont val="Times New Roman"/>
        <family val="1"/>
        <charset val="238"/>
      </rPr>
      <t>Budżet partycypacyjny - Rada Osiedla Stare Miasto</t>
    </r>
    <r>
      <rPr>
        <sz val="18"/>
        <color indexed="8"/>
        <rFont val="Times New Roman"/>
        <family val="1"/>
        <charset val="238"/>
      </rPr>
      <t xml:space="preserve"> - Wykonanie prac przygotowawczych do rewaloryzacji budynku przy ul. Rynek II w Łęcznej</t>
    </r>
  </si>
  <si>
    <r>
      <t xml:space="preserve">Rewitalizacja zespołu dworsko- parkowego Podzamcze- II etap - </t>
    </r>
    <r>
      <rPr>
        <b/>
        <sz val="18"/>
        <rFont val="Times New Roman"/>
        <family val="1"/>
        <charset val="238"/>
      </rPr>
      <t>WPF</t>
    </r>
  </si>
  <si>
    <t>Remont wiat przystankowych  na terenie gminy Łęczna</t>
  </si>
  <si>
    <r>
      <t xml:space="preserve">Fundusz sołecki - Sołectwo Nowogród -  </t>
    </r>
    <r>
      <rPr>
        <sz val="18"/>
        <rFont val="Times New Roman CE"/>
        <charset val="238"/>
      </rPr>
      <t>zakup kruszywa drogowego na drogę nr 105199L w miejscowości Nowogród</t>
    </r>
  </si>
  <si>
    <r>
      <rPr>
        <b/>
        <sz val="18"/>
        <rFont val="Times New Roman CE"/>
        <charset val="238"/>
      </rPr>
      <t>Budżet partycypacyjny - Rady Osiedla Bobrowniki -</t>
    </r>
    <r>
      <rPr>
        <sz val="18"/>
        <rFont val="Times New Roman CE"/>
        <charset val="238"/>
      </rPr>
      <t xml:space="preserve">
Modernizacja ciągu pieszego, łączącego ul. Wiosenną z ul. Wierzbową wraz z wymianą płyt chodnikowych na dojściu do głównego wejścia do budynku Szkoły Podstawowej Nr 4</t>
    </r>
  </si>
  <si>
    <t>Modernizacja ul. Armii Krajowej na odcinku od sklepu "Gutek" do skrzyżowania z ul. Obrońców Pokoju</t>
  </si>
  <si>
    <t>artykuły gospodarcze (świetlówki, żarówki, zamki, kłódki, wentylatory), elektryczne, hydrauliczne, malarskie, budowlane, środki czystości w tym m.in. zakup materiałów remontowych do malowania  pomieszczeń biurowych)</t>
  </si>
  <si>
    <t xml:space="preserve">akcesoria komputerowe, modernizacja posiadanych komputerów, części zamienne do urządzeń biurowych </t>
  </si>
  <si>
    <t>Udział Gminy Łęczna w stowarzyszeniach - składki członkowskie w LGD Polesie, Euroregion Bug, na rzecz wzmacniania spójności OF Szlaku Jana III Sobieskiego</t>
  </si>
  <si>
    <t>Koszty związane z wydaniem interpretacji indywidualnej dotyczącej podatku od towarów i usług, centralizacją podatku VAT w Gminie Łęczna</t>
  </si>
  <si>
    <t xml:space="preserve">Zaprojektowanie i wdrożenie nowej strony internetowej spełniającej wymogi Rozp. Rady Min. z dn. 12.04.2012 r.  w sprawie Krajowych Ram Interoperacyjności, minimalnych wymagań dla rejestrów publicznych i wymiany informacji w postaci elektronicznej oraz minimalnych wymagań dla systemów teleinformatycznych </t>
  </si>
  <si>
    <t xml:space="preserve">Rezerwa celowa z przeznaczeniem na realizację zadań własnych gminy z zakresu kultury, sztuki, ochrony dóbr kultury i tradycji , ochrony dziedzictwa narodowego oraz z zakresu sportu, zleconych w drodze otwartych konkursów ofert podmiotom nie zaliczanym do sektora finansów publicznych i niedziałającym w celu osiągnięcia zysku </t>
  </si>
  <si>
    <r>
      <t xml:space="preserve">Dotacja dla </t>
    </r>
    <r>
      <rPr>
        <b/>
        <sz val="18"/>
        <rFont val="Times New Roman"/>
        <family val="1"/>
        <charset val="238"/>
      </rPr>
      <t>Szkoły Podstawowej, prowadzonej przez</t>
    </r>
    <r>
      <rPr>
        <sz val="18"/>
        <rFont val="Times New Roman"/>
        <family val="1"/>
        <charset val="238"/>
      </rPr>
      <t xml:space="preserve"> </t>
    </r>
    <r>
      <rPr>
        <b/>
        <sz val="18"/>
        <rFont val="Times New Roman"/>
        <family val="1"/>
        <charset val="238"/>
      </rPr>
      <t>Stowarzyszenie Nauczycieli i Wychowawców "Przyjazna Szkoła"</t>
    </r>
    <r>
      <rPr>
        <sz val="18"/>
        <rFont val="Times New Roman"/>
        <family val="1"/>
        <charset val="238"/>
      </rPr>
      <t xml:space="preserve"> </t>
    </r>
    <r>
      <rPr>
        <b/>
        <sz val="18"/>
        <rFont val="Times New Roman"/>
        <family val="1"/>
        <charset val="238"/>
      </rPr>
      <t>w Zofiówce</t>
    </r>
  </si>
  <si>
    <r>
      <rPr>
        <b/>
        <sz val="18"/>
        <rFont val="Times New Roman"/>
        <family val="1"/>
        <charset val="238"/>
      </rPr>
      <t xml:space="preserve">Wydatki na realizację zadań własnych dofinansowywanych z budżetu państwa - </t>
    </r>
    <r>
      <rPr>
        <sz val="18"/>
        <rFont val="Times New Roman"/>
        <family val="1"/>
        <charset val="238"/>
      </rPr>
      <t xml:space="preserve">wypłata zasiłków okresowych dla podopiecznych MOPS w Łęcznej; wydatki realizowane przez </t>
    </r>
    <r>
      <rPr>
        <b/>
        <sz val="18"/>
        <rFont val="Times New Roman"/>
        <family val="1"/>
        <charset val="238"/>
      </rPr>
      <t>MOPS w Łęcznej</t>
    </r>
  </si>
  <si>
    <t>Zakup energii elektrycznej, konserwacja oraz inne wydatki związane z utrzymaniem oświetlenia ulic miejskich i dróg gminnych</t>
  </si>
  <si>
    <t>Organizacja  "Dożynek  Gminnych"  2018 (wnioskodawca Komisja Rolnictwa i Ochrony Środowiska RM)</t>
  </si>
  <si>
    <r>
      <t xml:space="preserve">Zakup nowych  wiat przystankowych  na terenie gminy - </t>
    </r>
    <r>
      <rPr>
        <b/>
        <sz val="18"/>
        <rFont val="Times New Roman"/>
        <family val="1"/>
        <charset val="238"/>
      </rPr>
      <t>wydatki w kwocie 4.000 zł finansowane z opłat za korzystanie przez operatorów i przewoźników z przystanków komunikacyjnych, których właścicielem bądź zarządzającym jest Gmina Łęczna</t>
    </r>
  </si>
  <si>
    <r>
      <t xml:space="preserve">Urządzanie  i utrzymanie terenów zielonych  w Gminie Łęczna - nasadzenia kwiatów, krzewów i drzew - kontynuacja nasadzeń -  </t>
    </r>
    <r>
      <rPr>
        <b/>
        <sz val="18"/>
        <rFont val="Times New Roman"/>
        <family val="1"/>
        <charset val="238"/>
      </rPr>
      <t>wydatki realizowane z opłat i kar za gospodarcze korzystanie ze środowiska</t>
    </r>
  </si>
  <si>
    <r>
      <t xml:space="preserve">Termomodernizacja Szkoły Podstawowej Nr 2 w Łęcznej </t>
    </r>
    <r>
      <rPr>
        <b/>
        <sz val="18"/>
        <rFont val="Times New Roman"/>
        <family val="1"/>
        <charset val="238"/>
      </rPr>
      <t>- WPF; w tym wydatki w kwocie 106.510 zł finansowane z kar i opłat za gospodarcze korzystanie ze środowiska</t>
    </r>
  </si>
  <si>
    <r>
      <rPr>
        <b/>
        <sz val="18"/>
        <rFont val="Times New Roman"/>
        <family val="1"/>
        <charset val="238"/>
      </rPr>
      <t xml:space="preserve">Fundusz sołecki - Sołectwo Ciechanki Krzesimowskie </t>
    </r>
    <r>
      <rPr>
        <sz val="18"/>
        <rFont val="Times New Roman"/>
        <family val="1"/>
        <charset val="238"/>
      </rPr>
      <t xml:space="preserve">- doposażenie w nowe urządzenia zabawowe  placu zabaw  dla dzieci znajdującego się na dz. 290  w miejscowości Ciechanki Krzesimowskie - należącej do Wspólnoty Gruntowej Spółki wsi Ciechanki Krzesimowskie  </t>
    </r>
  </si>
  <si>
    <t>Przebudowa ulicy Gwarków w Łęcznej - działka nr 2581/77 (opracowanie dokumentacji technicznej)</t>
  </si>
  <si>
    <t>Przebudowa drogi gminnej w miejscowości Stara Wieś Kol.</t>
  </si>
  <si>
    <t xml:space="preserve"> Wsparcie finansowe dla Komendy Powiatowej Policji - dofinansowanie zakupu samochodu służbowego</t>
  </si>
  <si>
    <r>
      <t xml:space="preserve">Dofinansowanie spółki Wirtualne Powiaty 3 sp.z o.o. w drodze wniesienia wkładów pieniężnych - Eksploatacja infrastruktury i sieci telekomunikacyjnej, dostarczanie sieci, zapewnienie dostępu do sieci, świadczenia usług z wykorzystaniem posiadanej infrastruktury i sieci - </t>
    </r>
    <r>
      <rPr>
        <b/>
        <sz val="18"/>
        <rFont val="Times New Roman"/>
        <family val="1"/>
        <charset val="238"/>
      </rPr>
      <t>WPF -wydatki majątkowe</t>
    </r>
  </si>
  <si>
    <r>
      <t xml:space="preserve">Rewitalizacja Starego Miasta w Łęcznej - II etap - </t>
    </r>
    <r>
      <rPr>
        <b/>
        <sz val="18"/>
        <color indexed="8"/>
        <rFont val="Times New Roman"/>
        <family val="1"/>
        <charset val="238"/>
      </rPr>
      <t>WPF</t>
    </r>
  </si>
  <si>
    <r>
      <t xml:space="preserve">Projekt </t>
    </r>
    <r>
      <rPr>
        <b/>
        <sz val="18"/>
        <rFont val="Times New Roman"/>
        <family val="1"/>
        <charset val="238"/>
      </rPr>
      <t>"Młodzi Przedsiębiorczy Europejczycy"</t>
    </r>
    <r>
      <rPr>
        <sz val="18"/>
        <rFont val="Times New Roman"/>
        <family val="1"/>
        <charset val="238"/>
      </rPr>
      <t xml:space="preserve"> realizowany w ramach programu Unii Europejskiej Erazmus+ ( projekt realizowany przez </t>
    </r>
    <r>
      <rPr>
        <b/>
        <sz val="18"/>
        <rFont val="Times New Roman"/>
        <family val="1"/>
        <charset val="238"/>
      </rPr>
      <t>Szkołę Podstawową  Nr 2 w Łęcznej</t>
    </r>
    <r>
      <rPr>
        <sz val="18"/>
        <rFont val="Times New Roman"/>
        <family val="1"/>
        <charset val="238"/>
      </rPr>
      <t xml:space="preserve">) - </t>
    </r>
    <r>
      <rPr>
        <b/>
        <sz val="18"/>
        <rFont val="Times New Roman"/>
        <family val="1"/>
        <charset val="238"/>
      </rPr>
      <t>WPF</t>
    </r>
  </si>
  <si>
    <r>
      <t xml:space="preserve">Projekt </t>
    </r>
    <r>
      <rPr>
        <b/>
        <sz val="18"/>
        <rFont val="Times New Roman"/>
        <family val="1"/>
        <charset val="238"/>
      </rPr>
      <t>"Już dziś zaplanuj swój sukces"</t>
    </r>
    <r>
      <rPr>
        <sz val="18"/>
        <rFont val="Times New Roman"/>
        <family val="1"/>
        <charset val="238"/>
      </rPr>
      <t xml:space="preserve"> realizowany w ramach programu Unii Europejskiej Erazmus+ (projekt realizowany przez </t>
    </r>
    <r>
      <rPr>
        <b/>
        <sz val="18"/>
        <rFont val="Times New Roman"/>
        <family val="1"/>
        <charset val="238"/>
      </rPr>
      <t>Szkołę Podstawową  Nr 4 w Łęcznej</t>
    </r>
    <r>
      <rPr>
        <sz val="18"/>
        <rFont val="Times New Roman"/>
        <family val="1"/>
        <charset val="238"/>
      </rPr>
      <t xml:space="preserve">) - </t>
    </r>
    <r>
      <rPr>
        <b/>
        <sz val="18"/>
        <rFont val="Times New Roman"/>
        <family val="1"/>
        <charset val="238"/>
      </rPr>
      <t>WPF</t>
    </r>
  </si>
  <si>
    <r>
      <t xml:space="preserve">Projekt </t>
    </r>
    <r>
      <rPr>
        <b/>
        <sz val="18"/>
        <rFont val="Times New Roman"/>
        <family val="1"/>
        <charset val="238"/>
      </rPr>
      <t>"Wszechstronna edukacja kluczem do sukcesu"</t>
    </r>
    <r>
      <rPr>
        <sz val="18"/>
        <rFont val="Times New Roman"/>
        <family val="1"/>
        <charset val="238"/>
      </rPr>
      <t xml:space="preserve"> realizowany w ramach Regionalnego programu Operacyjnego Województwa Lubelskiego na lata 2014-2020 ( projekt realizowany przez </t>
    </r>
    <r>
      <rPr>
        <b/>
        <sz val="18"/>
        <rFont val="Times New Roman"/>
        <family val="1"/>
        <charset val="238"/>
      </rPr>
      <t>Szkołę Podstawową  Nr 2 w Łęcznej) - WPF</t>
    </r>
  </si>
  <si>
    <r>
      <t xml:space="preserve">Projekt </t>
    </r>
    <r>
      <rPr>
        <b/>
        <sz val="18"/>
        <rFont val="Times New Roman"/>
        <family val="1"/>
        <charset val="238"/>
      </rPr>
      <t>"Wszechstronna edukacja kluczem do sukcesu"</t>
    </r>
    <r>
      <rPr>
        <sz val="18"/>
        <rFont val="Times New Roman"/>
        <family val="1"/>
        <charset val="238"/>
      </rPr>
      <t xml:space="preserve"> realizowany w ramach Regionalnego programu Operacyjnego Województwa Lubelskiego na lata 2014-2020 ( projekt realizowany przez </t>
    </r>
    <r>
      <rPr>
        <b/>
        <sz val="18"/>
        <rFont val="Times New Roman"/>
        <family val="1"/>
        <charset val="238"/>
      </rPr>
      <t>Szkołę Podstawową  Nr 4 w Łęcznej) - WPF</t>
    </r>
  </si>
  <si>
    <r>
      <t>Modernizacja infrastruktury Centrum Kultury z przystosowaniem obiektu i jego otoczenia dla usprawnienia działalności placówki, podniesienie jej funkcjonalności i estetyki -</t>
    </r>
    <r>
      <rPr>
        <b/>
        <sz val="18"/>
        <rFont val="Times New Roman"/>
        <family val="1"/>
        <charset val="238"/>
      </rPr>
      <t xml:space="preserve"> dotacja dla Centrum Kultury -WPF</t>
    </r>
  </si>
  <si>
    <t>Regulacja stanów prawnych nieruchomości plus opłaty hipoteczne</t>
  </si>
  <si>
    <t>Plan pierwotny na 2018 rok</t>
  </si>
  <si>
    <t>%</t>
  </si>
  <si>
    <t>01095</t>
  </si>
  <si>
    <t xml:space="preserve">Rewitalizacja Placu Powstań Narodowych - II etap </t>
  </si>
  <si>
    <t>Przemysłowa 4</t>
  </si>
  <si>
    <t>Koszty związane z postępowaniem sądowym (wznowienie postępowania o zasiedzenie, zapłata odszkodowania za przejęte mienie - sprawa Pani I.Bancerz)</t>
  </si>
  <si>
    <t>Środki przeznaczone na realizację zadań wynikających z ustawy - Prawo o aktach stanu cywilnego, tj. na oprawę i konserwację ksiąg stanu cywilnego oraz oprawę ksiąg meldunkowych</t>
  </si>
  <si>
    <t xml:space="preserve">5. Odpis na ZFŚS </t>
  </si>
  <si>
    <t>6. Wpłaty na PEFRON</t>
  </si>
  <si>
    <t xml:space="preserve">WYDATKI PŁACOWE </t>
  </si>
  <si>
    <t>zakup oprogramowania do inwentaryzacji majątku</t>
  </si>
  <si>
    <t>remont schodów wejściowych do sali konferencyjnej UM w Łęcznej</t>
  </si>
  <si>
    <t>Zakup nagród, pucharów, kwiatów dla GKS Górnik Łeczna za zdobycie Mistrzostwa Polski 2018</t>
  </si>
  <si>
    <t>Zakup motopompy w celu poprawienia gotowości bojowej jednostki OSP Łęczna</t>
  </si>
  <si>
    <t>Zapewnienie uczniom prawa do bezpłatnego dostępu do podręczników, materiałów edukacyjnych lub materiałów ćwiczeniowych</t>
  </si>
  <si>
    <t>Środki przyznane decyzją budżetową Nr 160 Wojewody Lubelskiego z dn. 24 maja 2018 na wyposażenie szkół w podręczniki, materiały edukacyjne lub materiały ćwiczeniowe oraz na sfinansowanie kosztu zakupu podręczników, materiałów edukcyjnych lub materiałów ćwiczeniowych w przypadku szkół  prowadzonych przez osoby prawne inne niż jednostki samorządu terytorialnego lub osoby fizyczne - zgodnie z postanowieniami art. 55 ust. 3 oraz art. 116 ust.1 pkt 1, ust 2 pkt 1 i ust. 3 pkt 1 ustawy z dnia  27.10.2018 o finansowaniu zadań oświatowych</t>
  </si>
  <si>
    <t>Raport potwierdzający osiągnięcie efektu ekologicznego dla projektu: "Termomodernizacja budynku placówek oświatowych w Łęcznej"</t>
  </si>
  <si>
    <t xml:space="preserve">Realizacja zadań publicznych z zakresu ochrony i promocji zdrowia - przeciwdziałanie narkomanii, zleconych na podstawie otwartego konkursu ofert organizacjom prowadzącym działalność pożytku publicznego </t>
  </si>
  <si>
    <t>Wykaz podmiotów, którym udzielono dotacji znajduje się w załączniku pn. "Dotacje udzielone w 2018 roku z budżetu podmiotom należącym i nienależącym do sektora finansów publicznych"</t>
  </si>
  <si>
    <t>Realizacja zadań publicznych z zakresu ochrony i promocji zdrowia - przeciwdziałanie alkoholizmowi, zleconych na podstawie otwartego konkursu ofert organizacjom prowadzącym działalność pożytku publicznego</t>
  </si>
  <si>
    <t>Wykaz podmiotów, którym udzielono dotacji znajduje się w załaczniku pn. "Dotacje udzielone w 2018 roku z budżetu podmiotom należącym i nienależącym do sektora finansów publicznych"</t>
  </si>
  <si>
    <t>Dotacja przeznaczona na sfinansowanie wypłat zryczałtowanych dodatków energetycznych dla odbiorców wrażliwych energii elektrycznej oraz na koszty obsługi tego zadania realizowanego przez gminy w wysokości 2 % łącznej kwoty dotacji wypłaconych w gminie</t>
  </si>
  <si>
    <t>Zwrot dotacji celowej do LUW dokonanej w lutym 2018 roku</t>
  </si>
  <si>
    <t>Karta Dużej Rodziny</t>
  </si>
  <si>
    <r>
      <rPr>
        <b/>
        <sz val="18"/>
        <rFont val="Times New Roman"/>
        <family val="1"/>
        <charset val="238"/>
      </rPr>
      <t>Fundusz sołecki - Sołectwo Łuszczów Kolonia</t>
    </r>
    <r>
      <rPr>
        <sz val="18"/>
        <rFont val="Times New Roman"/>
        <family val="1"/>
        <charset val="238"/>
      </rPr>
      <t>- budowa oświetlenia przy drodze gminnej w miejscowości Łuszczów Kolonia Nr 105189L od istniejącego do granicy z Gminą Wólka Lubelska</t>
    </r>
  </si>
  <si>
    <t>Naprawa uszkodzonych zewnętrznych iluminacji świetlnych</t>
  </si>
  <si>
    <t>Realizacja zadań publicznych z zakresu kultury, sztuki, ochrony dóbr kultury i tradycji, zleconych na podstawie otwartego konkursu ofert organizacjom prowadzącym działalność pożytku publicznego</t>
  </si>
  <si>
    <t>Realizacja zadań publicznych z zakresu upowszechniania kultury fizycznej , zleconych na podstawie otwartego konkursu ofert organizacjom prowadzącym działalność pożytku publicznego</t>
  </si>
  <si>
    <t>*</t>
  </si>
  <si>
    <t>Nie wydatkowano środków finansowych z uwagi na brak wniosków żołnierzy rezerwy.</t>
  </si>
  <si>
    <t>Środki na realizację tego zadania nie zostały wykorzystane, ponieważ do 30 czerwca 2018 roku nie wpłynęły od żołnierzy wnioski o pokrycie należności mieszkaniowych.</t>
  </si>
  <si>
    <t>Na funkcjonowanie izb rolniczych w 2018 roku przekazano 2% z uzyskanego wpływu z tytułu podatku rolnego.</t>
  </si>
  <si>
    <t>Na podstawie uchwały Rady Miejskiej zadanie poboru podatków powierzono sołtysom. Przy I racie 2018 roku - 11 sołtysów pobrało podatki na łączną kwotę 100.124,94 zł wypłacone inkaso to 10.013,00 zł, przy II racie - 11 sołtysów pobrało podatki na łączną kwotę 76.062,40 zł, wypłacone inkaso to 7.608 zł.</t>
  </si>
  <si>
    <t xml:space="preserve"> Ogółem w 2018 roku sołtysi zebrali podatek rolny i podatek od nieruchomości na łączną kwotę 176.187,34 zł, z czego naliczono inkaso brutto - 17.621,00 zł.</t>
  </si>
  <si>
    <t>usługi elektryczne, pralnicze, drobne usługi remontowe, naprawy bieżące, naprawa systemu alarmowego</t>
  </si>
  <si>
    <t>zakup mebli i firan (w tym: 3 krzeseł biurowych)</t>
  </si>
  <si>
    <t>kompleksowa obsługa urządzeń drukujących</t>
  </si>
  <si>
    <t>opłaty za przesyłki listowe i pocztowe, opłaty RTV</t>
  </si>
  <si>
    <t>opłaty za telefony stacjonarne i telefonię VOIP, dzierżawa kanalizacji telefonicznej</t>
  </si>
  <si>
    <t>opłaty za Internet, utrzymanie domeny staremiastoleczna.pl, abonament za udostępnienie konta poczty elektronicznej</t>
  </si>
  <si>
    <t>zakup 2 komputerów przenośnych</t>
  </si>
  <si>
    <t>użytkowe programy komputerowe, przedłużenie licencji programu Legislator</t>
  </si>
  <si>
    <t>or/irg</t>
  </si>
  <si>
    <t xml:space="preserve">* </t>
  </si>
  <si>
    <t>I</t>
  </si>
  <si>
    <t>WYNAGRODZENIA i SKŁADKI</t>
  </si>
  <si>
    <t>2). Nagrody jubileuszowe dla pracowników ŚDS w Łęcznej</t>
  </si>
  <si>
    <t>5). Dodatkowe wynagrodzenie roczne tzw. "13"</t>
  </si>
  <si>
    <t xml:space="preserve">6). Wynagrodzenia z tytułu umów zleceń </t>
  </si>
  <si>
    <t>7). Składki na ubezpieczenie społeczne i fundusz pracy</t>
  </si>
  <si>
    <t>II</t>
  </si>
  <si>
    <t>WYDATKI RZECZOWE</t>
  </si>
  <si>
    <t>1). Wypłaty pieniężne, świadczenia rzeczowe, ekwiwalenty pieniężne wynikające z przepisów dotyczących bezpieczeństwa i higieny pracy</t>
  </si>
  <si>
    <t>3). Meble, stoliki, dywany przeznaczone na wyposażenie pracowni</t>
  </si>
  <si>
    <t>4). Zakup środków czystości</t>
  </si>
  <si>
    <t>5). Zakup materiałów biurowych i kancelaryjnych, tonery</t>
  </si>
  <si>
    <t>6). Wydatki na energię elektryczną, cieplną, gaz, wodę</t>
  </si>
  <si>
    <t>7). Wywóz nieczystości i odprowadzenie ścieków</t>
  </si>
  <si>
    <t>8). Wydatki na ubezpieczenie majątku i osób</t>
  </si>
  <si>
    <t>9). Odpis na ZFŚS</t>
  </si>
  <si>
    <t>10). Zakup produktów żywnościowych (na przygotowanie w ramach terapii zajęciowej posiłków dla uczestników ŚDS w Łęcznej)</t>
  </si>
  <si>
    <t>11). Wydatki na podróże służbowe krajowe i zagraniczne</t>
  </si>
  <si>
    <t>12). Wydatki na szkolenia pracowników</t>
  </si>
  <si>
    <t>13). Pozostałe wydatki bieżące</t>
  </si>
  <si>
    <t>1). Wynagrodzenia osobowe pracowników (12 osób; 9 etatów)</t>
  </si>
  <si>
    <t>3). Odprawy emerytalne i rentowe dla pracowników ŚDS w Łęcznej - 1 osoba</t>
  </si>
  <si>
    <t>4). Wynagrodzenia osobowe pracowników administracji i obsługi (6 osób; 4 etaty)</t>
  </si>
  <si>
    <t>2). Wydatki na remonty (remont samochodów, drobne remonty urządzeń)</t>
  </si>
  <si>
    <t xml:space="preserve">3). Wynagrodzenia nauczycieli za godziny ponadwymiarowe </t>
  </si>
  <si>
    <t xml:space="preserve">5). Nagrody jubileuszowe dla nauczycieli </t>
  </si>
  <si>
    <t xml:space="preserve">6). Pozostałe nagrody dla nauczycieli </t>
  </si>
  <si>
    <t xml:space="preserve">7). Zasiłki na zagospodarowanie nauczycieli </t>
  </si>
  <si>
    <t>9). Odprawy emerytalne i rentowe</t>
  </si>
  <si>
    <t xml:space="preserve">10). Odprawy z tytułu zwolnienia z pracy </t>
  </si>
  <si>
    <t xml:space="preserve">11). Pozostałe wynagrodzenia </t>
  </si>
  <si>
    <t xml:space="preserve">13). Nagrody dla pracowników administracji i obsługi </t>
  </si>
  <si>
    <t>14). Dodatkowe wynagrodzenie roczne tzw. "13"</t>
  </si>
  <si>
    <r>
      <t xml:space="preserve">15). Wynagrodzenia z tytułu umów zleceń i o dzieło </t>
    </r>
    <r>
      <rPr>
        <i/>
        <sz val="18"/>
        <rFont val="Times New Roman CE"/>
        <charset val="238"/>
      </rPr>
      <t>- 1 umowa</t>
    </r>
  </si>
  <si>
    <t xml:space="preserve">16). Pozostałe wynagrodzenia </t>
  </si>
  <si>
    <t>17). Składki na ubezpieczenie społeczne i fundusz pracy</t>
  </si>
  <si>
    <t xml:space="preserve">1). Wypłaty pieniężne, świadczenia rzeczowe, ekwiwalenty pieniężne wynikające z przepisów dotyczących bezpieczeństwa i higieny pracy </t>
  </si>
  <si>
    <t xml:space="preserve">2). Pomoc zdrowotna dla nauczycieli </t>
  </si>
  <si>
    <t>3). Stypendia dla uczniów</t>
  </si>
  <si>
    <t xml:space="preserve">4). Inne formy pomocy dla uczniów </t>
  </si>
  <si>
    <t>5). Wpłaty na PFRON</t>
  </si>
  <si>
    <t>7).Środki dydaktyczne służące procesowi dydaktyczno-wychowawczemu realizowanemu w szkołach i placówkach oświatowych, książki i inne zbiory biblioteczne</t>
  </si>
  <si>
    <t xml:space="preserve">8). Meble, stoliki, krzesła, dywany przeznaczone na wyposażenie sal lekcyjnych i pracowni </t>
  </si>
  <si>
    <t>9). Wydatki na zakup środków czystości</t>
  </si>
  <si>
    <t>10). Zakup sprzętu komputerowego, drukarek nie służącego procesowi dydaktycznemu</t>
  </si>
  <si>
    <t>11). Wydatki na materiały biurowe i kancelaryjne, tonery</t>
  </si>
  <si>
    <t>12). Pozostałe meble, stoliki, krzesła, dywany zakupione na inny cel niż w punkcie 8.</t>
  </si>
  <si>
    <t>13). Wydatki na energię elektryczną, energię cieplną, gaz, woda</t>
  </si>
  <si>
    <t>14). Wywóz nieczystości i odprowadzenie ścieków</t>
  </si>
  <si>
    <t>15). Wydatki na ubezpieczenie majątku i osób</t>
  </si>
  <si>
    <t>16). Odpis na ZFŚS</t>
  </si>
  <si>
    <t>17). Zakup produktów żywnościowych (stołówki)</t>
  </si>
  <si>
    <t>18). Zakup materiałów, sprzętu i urządzeń na potrzeby stołówek szkolnych</t>
  </si>
  <si>
    <t>19). Wydatki na podróże służbowe krajowe i zagraniczne</t>
  </si>
  <si>
    <t>20). Wydatki na szkolenia pracowników</t>
  </si>
  <si>
    <t>21). Pozostałe wydatki bieżące</t>
  </si>
  <si>
    <t>WYDATKI INWESTYCYJNE</t>
  </si>
  <si>
    <t>Przedszkole Publiczne Nr 2 w Łęcznej</t>
  </si>
  <si>
    <r>
      <t xml:space="preserve">15). Wynagrodzenia z tytułu umów zleceń i o dzieło </t>
    </r>
    <r>
      <rPr>
        <i/>
        <sz val="18"/>
        <rFont val="Times New Roman CE"/>
        <charset val="238"/>
      </rPr>
      <t>- 1 osoba</t>
    </r>
  </si>
  <si>
    <r>
      <t xml:space="preserve">1). Wynagrodzenia osobowe nauczycieli </t>
    </r>
    <r>
      <rPr>
        <i/>
        <sz val="18"/>
        <rFont val="Times New Roman CE"/>
        <charset val="238"/>
      </rPr>
      <t>- 16 osób; 13,27 etatów</t>
    </r>
  </si>
  <si>
    <t>2). Wynagrodzenia nauczycieli przebywających na urlopach dla poratowania zdrowia - 2 osoby</t>
  </si>
  <si>
    <r>
      <t xml:space="preserve">4). Wynagrodzenia nauczycieli za zastępstwa </t>
    </r>
    <r>
      <rPr>
        <i/>
        <sz val="18"/>
        <rFont val="Times New Roman CE"/>
        <charset val="238"/>
      </rPr>
      <t>- 553 godz. - 9 nauczycieli</t>
    </r>
  </si>
  <si>
    <r>
      <t>8). Jednorazowe dodatki uzupełniające za 2017 rok</t>
    </r>
    <r>
      <rPr>
        <i/>
        <sz val="18"/>
        <rFont val="Times New Roman CE"/>
        <charset val="238"/>
      </rPr>
      <t xml:space="preserve"> - 3 osoby</t>
    </r>
  </si>
  <si>
    <r>
      <t>12). Wynagrodzenia pracowników administracji i obsługi</t>
    </r>
    <r>
      <rPr>
        <i/>
        <sz val="18"/>
        <rFont val="Times New Roman CE"/>
        <charset val="238"/>
      </rPr>
      <t xml:space="preserve"> - 10 osób,  9,50 etatu</t>
    </r>
  </si>
  <si>
    <r>
      <t xml:space="preserve">6). Wydatki na remonty - </t>
    </r>
    <r>
      <rPr>
        <i/>
        <sz val="18"/>
        <rFont val="Times New Roman CE"/>
        <charset val="238"/>
      </rPr>
      <t>drobne naprawy schodów, drzwi, sprzętu</t>
    </r>
  </si>
  <si>
    <t>22). Remont sali w Nowogrodzie w ramach funduszu sołeckiego</t>
  </si>
  <si>
    <t xml:space="preserve">1). Wynagrodzenia osobowe nauczycieli </t>
  </si>
  <si>
    <t xml:space="preserve">2). Wynagrodzenia nauczycieli przebywających na urlopach dla poratowania zdrowia </t>
  </si>
  <si>
    <t>3). Wynagrodzenia nauczycieli za godziny ponadwymiarowe</t>
  </si>
  <si>
    <t xml:space="preserve">4). Wynagrodzenia nauczycieli za zastępstwa </t>
  </si>
  <si>
    <t xml:space="preserve">8). Jednorazowe dodatki uzupełniające </t>
  </si>
  <si>
    <t xml:space="preserve">15). Wynagrodzenia z tytułu umów zleceń i o dzieło </t>
  </si>
  <si>
    <t>6). Wydatki na remonty</t>
  </si>
  <si>
    <r>
      <t>12). Wynagrodzenia pracowników administracji i obsługi</t>
    </r>
    <r>
      <rPr>
        <i/>
        <sz val="18"/>
        <rFont val="Times New Roman CE"/>
        <charset val="238"/>
      </rPr>
      <t xml:space="preserve"> - 4 osoby,  3,5 etatu</t>
    </r>
  </si>
  <si>
    <t>15). Wynagrodzenia z tytułu umów zleceń i o dzieło</t>
  </si>
  <si>
    <t xml:space="preserve">6). Wydatki na remonty </t>
  </si>
  <si>
    <r>
      <t xml:space="preserve">1). Wynagrodzenia osobowe nauczycieli </t>
    </r>
    <r>
      <rPr>
        <i/>
        <sz val="18"/>
        <rFont val="Times New Roman CE"/>
        <charset val="238"/>
      </rPr>
      <t>- 1 osoba; 1 etat</t>
    </r>
  </si>
  <si>
    <r>
      <t>3). Wynagrodzenia nauczycieli za godziny ponadwymiarowe -</t>
    </r>
    <r>
      <rPr>
        <i/>
        <sz val="18"/>
        <rFont val="Times New Roman CE"/>
        <charset val="238"/>
      </rPr>
      <t xml:space="preserve"> 1 osoba, 24 godz. </t>
    </r>
  </si>
  <si>
    <r>
      <t>4). Wynagrodzenia nauczycieli za zastępstwa -</t>
    </r>
    <r>
      <rPr>
        <i/>
        <sz val="18"/>
        <rFont val="Times New Roman CE"/>
        <charset val="238"/>
      </rPr>
      <t xml:space="preserve"> 1 osoba, 3 godz.</t>
    </r>
  </si>
  <si>
    <r>
      <t xml:space="preserve">8). Jednorazowe dodatki uzupełniające za 2017 rok </t>
    </r>
    <r>
      <rPr>
        <i/>
        <sz val="18"/>
        <rFont val="Times New Roman CE"/>
        <charset val="238"/>
      </rPr>
      <t>- 2 osoby</t>
    </r>
  </si>
  <si>
    <t xml:space="preserve">12). Wynagrodzenia pracowników administracji i obsługi </t>
  </si>
  <si>
    <r>
      <t xml:space="preserve">Projekt z zakresu profilaktyki alkoholowej </t>
    </r>
    <r>
      <rPr>
        <b/>
        <i/>
        <sz val="18"/>
        <rFont val="Times New Roman"/>
        <family val="1"/>
        <charset val="238"/>
      </rPr>
      <t xml:space="preserve">"Alkohol - wróg ogniska domowego" </t>
    </r>
    <r>
      <rPr>
        <i/>
        <sz val="18"/>
        <rFont val="Times New Roman"/>
        <family val="1"/>
        <charset val="238"/>
      </rPr>
      <t xml:space="preserve">realizowany w </t>
    </r>
    <r>
      <rPr>
        <b/>
        <i/>
        <sz val="18"/>
        <rFont val="Times New Roman"/>
        <family val="1"/>
        <charset val="238"/>
      </rPr>
      <t xml:space="preserve">Przedszkolu Publicznym Nr 1 w Łęcznej </t>
    </r>
  </si>
  <si>
    <r>
      <t xml:space="preserve">1). Wynagrodzenia osobowe nauczycieli </t>
    </r>
    <r>
      <rPr>
        <i/>
        <sz val="18"/>
        <rFont val="Times New Roman CE"/>
        <charset val="238"/>
      </rPr>
      <t>- 20 osób; 15,90 etatu</t>
    </r>
  </si>
  <si>
    <t>2). Wynagrodzenia nauczycieli przebywających na urlopach dla poratowania zdrowia</t>
  </si>
  <si>
    <r>
      <t>4). Wynagrodzenia nauczycieli za zastępstwa</t>
    </r>
    <r>
      <rPr>
        <i/>
        <sz val="18"/>
        <rFont val="Times New Roman CE"/>
        <charset val="238"/>
      </rPr>
      <t xml:space="preserve"> - 463 godz. - 11 osób</t>
    </r>
  </si>
  <si>
    <r>
      <t>5). Nagrody jubileuszowe dla nauczycieli</t>
    </r>
    <r>
      <rPr>
        <i/>
        <sz val="18"/>
        <rFont val="Times New Roman CE"/>
        <charset val="238"/>
      </rPr>
      <t xml:space="preserve"> - 1 osoba </t>
    </r>
  </si>
  <si>
    <r>
      <t xml:space="preserve">8). Jednorazowe dodatki uzupełniające za 2017 rok </t>
    </r>
    <r>
      <rPr>
        <i/>
        <sz val="18"/>
        <rFont val="Times New Roman CE"/>
        <charset val="238"/>
      </rPr>
      <t>- 4 osoby</t>
    </r>
  </si>
  <si>
    <r>
      <t>12). Wynagrodzenia pracowników administracji i obsługi</t>
    </r>
    <r>
      <rPr>
        <i/>
        <sz val="18"/>
        <rFont val="Times New Roman CE"/>
        <charset val="238"/>
      </rPr>
      <t xml:space="preserve"> - 13 osób,  12,33 etatu</t>
    </r>
  </si>
  <si>
    <r>
      <t xml:space="preserve">16). Pozostałe wynagrodzenia </t>
    </r>
    <r>
      <rPr>
        <i/>
        <sz val="18"/>
        <rFont val="Times New Roman CE"/>
        <charset val="238"/>
      </rPr>
      <t>- nagroda jubileuszowa 2 osoby</t>
    </r>
  </si>
  <si>
    <r>
      <t xml:space="preserve">6). Wydatki na remonty - </t>
    </r>
    <r>
      <rPr>
        <i/>
        <sz val="18"/>
        <rFont val="Times New Roman CE"/>
        <charset val="238"/>
      </rPr>
      <t>remont kominów, konserwcja windy i węzła cieplnego, naprawa bujaka na placu zabaw, materiały do drobnych napraw</t>
    </r>
  </si>
  <si>
    <r>
      <t xml:space="preserve">12). Wynagrodzenia pracowników administracji i obsługi </t>
    </r>
    <r>
      <rPr>
        <i/>
        <sz val="18"/>
        <rFont val="Times New Roman CE"/>
        <charset val="238"/>
      </rPr>
      <t>- 5 osób,  5 etatów</t>
    </r>
  </si>
  <si>
    <r>
      <t xml:space="preserve">1). Wynagrodzenia osobowe nauczycieli </t>
    </r>
    <r>
      <rPr>
        <i/>
        <sz val="18"/>
        <rFont val="Times New Roman CE"/>
        <charset val="238"/>
      </rPr>
      <t>- 15 osób; 13,41 etatu</t>
    </r>
  </si>
  <si>
    <r>
      <t>2). Wynagrodzenia nauczycieli przebywających na urlopach dla poratowania zdrowia</t>
    </r>
    <r>
      <rPr>
        <i/>
        <sz val="18"/>
        <rFont val="Times New Roman CE"/>
        <charset val="238"/>
      </rPr>
      <t xml:space="preserve"> - 2 osoby</t>
    </r>
  </si>
  <si>
    <r>
      <t xml:space="preserve">4). Wynagrodzenia nauczycieli za zastępstwa </t>
    </r>
    <r>
      <rPr>
        <i/>
        <sz val="18"/>
        <rFont val="Times New Roman CE"/>
        <charset val="238"/>
      </rPr>
      <t>- 568 godz. - 9 osób</t>
    </r>
  </si>
  <si>
    <r>
      <t>8). Jednorazowe dodatki uzupełniające za 2017 rok</t>
    </r>
    <r>
      <rPr>
        <i/>
        <sz val="18"/>
        <rFont val="Times New Roman CE"/>
        <charset val="238"/>
      </rPr>
      <t xml:space="preserve"> - 2 osoby</t>
    </r>
  </si>
  <si>
    <r>
      <t>12). Wynagrodzenia pracowników administracji i obsługi</t>
    </r>
    <r>
      <rPr>
        <i/>
        <sz val="18"/>
        <rFont val="Times New Roman CE"/>
        <charset val="238"/>
      </rPr>
      <t xml:space="preserve"> - 11 osób,  10,15 etatu</t>
    </r>
  </si>
  <si>
    <r>
      <t xml:space="preserve">12). Wynagrodzenia pracowników administracji i obsługi </t>
    </r>
    <r>
      <rPr>
        <i/>
        <sz val="18"/>
        <rFont val="Times New Roman CE"/>
        <charset val="238"/>
      </rPr>
      <t>- 4 osoby,  3,74 etatu</t>
    </r>
  </si>
  <si>
    <t>Przedszkole Publiczne Nr 3 w Łęcznej</t>
  </si>
  <si>
    <t>12). Wynagrodzenia pracowników administracji i obsługi</t>
  </si>
  <si>
    <r>
      <t xml:space="preserve">1). Wynagrodzenia osobowe nauczycieli </t>
    </r>
    <r>
      <rPr>
        <i/>
        <sz val="18"/>
        <rFont val="Times New Roman CE"/>
        <charset val="238"/>
      </rPr>
      <t>- 24 osoby,  23,23 etatu</t>
    </r>
  </si>
  <si>
    <r>
      <t xml:space="preserve">2). Wynagrodzenia nauczycieli przebywających na urlopach dla poratowania zdrowia </t>
    </r>
    <r>
      <rPr>
        <i/>
        <sz val="18"/>
        <rFont val="Times New Roman CE"/>
        <charset val="238"/>
      </rPr>
      <t xml:space="preserve"> - 3 osoby</t>
    </r>
  </si>
  <si>
    <r>
      <t xml:space="preserve">4). Wynagrodzenia nauczycieli za zastępstwa </t>
    </r>
    <r>
      <rPr>
        <i/>
        <sz val="18"/>
        <rFont val="Times New Roman CE"/>
        <charset val="238"/>
      </rPr>
      <t>- 698 godz., 18 osób</t>
    </r>
  </si>
  <si>
    <r>
      <t xml:space="preserve">12). Wynagrodzenia pracowników administracji i obsługi </t>
    </r>
    <r>
      <rPr>
        <i/>
        <sz val="18"/>
        <rFont val="Times New Roman CE"/>
        <charset val="238"/>
      </rPr>
      <t>- 17 osób,  15,92 etatu</t>
    </r>
  </si>
  <si>
    <r>
      <t xml:space="preserve">16). Pozostałe wynagrodzenia </t>
    </r>
    <r>
      <rPr>
        <i/>
        <sz val="18"/>
        <rFont val="Times New Roman CE"/>
        <charset val="238"/>
      </rPr>
      <t>- nagrody jubileuszowe 4 osoby</t>
    </r>
  </si>
  <si>
    <r>
      <t xml:space="preserve">6). Wydatki na remonty </t>
    </r>
    <r>
      <rPr>
        <i/>
        <sz val="18"/>
        <rFont val="Times New Roman CE"/>
        <charset val="238"/>
      </rPr>
      <t>- konserwacja węzła cieplnego, wind, naprawa bramy i bramki</t>
    </r>
  </si>
  <si>
    <t>8). Jednorazowe dodatki uzupełniające</t>
  </si>
  <si>
    <r>
      <t xml:space="preserve">12). Wynagrodzenia pracowników administracji i obsługi - </t>
    </r>
    <r>
      <rPr>
        <i/>
        <sz val="18"/>
        <rFont val="Times New Roman CE"/>
        <charset val="238"/>
      </rPr>
      <t>6 osób,  5,5 etatu</t>
    </r>
  </si>
  <si>
    <r>
      <t>1). Wynagrodzenia osobowe nauczycieli</t>
    </r>
    <r>
      <rPr>
        <i/>
        <sz val="18"/>
        <rFont val="Times New Roman CE"/>
        <charset val="238"/>
      </rPr>
      <t xml:space="preserve"> - 3 osoby; 2,09 etatu</t>
    </r>
  </si>
  <si>
    <r>
      <t xml:space="preserve">3). Wynagrodzenia nauczycieli za godziny ponadwymiarowe - </t>
    </r>
    <r>
      <rPr>
        <i/>
        <sz val="18"/>
        <rFont val="Times New Roman CE"/>
        <charset val="238"/>
      </rPr>
      <t xml:space="preserve">30 godz., 2 osoby) </t>
    </r>
  </si>
  <si>
    <r>
      <t xml:space="preserve">4). Wynagrodzenia nauczycieli za zastępstwa </t>
    </r>
    <r>
      <rPr>
        <i/>
        <sz val="18"/>
        <rFont val="Times New Roman CE"/>
        <charset val="238"/>
      </rPr>
      <t>- 25 godz., 2 osoby</t>
    </r>
  </si>
  <si>
    <r>
      <t xml:space="preserve">9). Odprawy emerytalne i rentowe </t>
    </r>
    <r>
      <rPr>
        <i/>
        <sz val="18"/>
        <rFont val="Times New Roman CE"/>
        <charset val="238"/>
      </rPr>
      <t>- 1 osoba</t>
    </r>
  </si>
  <si>
    <r>
      <t xml:space="preserve">11). Pozostałe wynagrodzenia - ekwiwalent za urlop </t>
    </r>
    <r>
      <rPr>
        <i/>
        <sz val="18"/>
        <rFont val="Times New Roman CE"/>
        <charset val="238"/>
      </rPr>
      <t xml:space="preserve">- 1 osoba </t>
    </r>
  </si>
  <si>
    <r>
      <t xml:space="preserve">2). Pomoc zdrowotna dla nauczycieli </t>
    </r>
    <r>
      <rPr>
        <i/>
        <sz val="18"/>
        <rFont val="Times New Roman CE"/>
        <charset val="238"/>
      </rPr>
      <t xml:space="preserve">- 2 osoby </t>
    </r>
  </si>
  <si>
    <r>
      <t xml:space="preserve">1). Wynagrodzenia osobowe nauczycieli </t>
    </r>
    <r>
      <rPr>
        <i/>
        <sz val="18"/>
        <rFont val="Times New Roman CE"/>
        <charset val="238"/>
      </rPr>
      <t>- 76 osób; 59,58 etatu</t>
    </r>
  </si>
  <si>
    <r>
      <t xml:space="preserve">2). Wynagrodzenia nauczycieli przebywających na urlopach dla poratowania zdrowia </t>
    </r>
    <r>
      <rPr>
        <i/>
        <sz val="18"/>
        <rFont val="Times New Roman CE"/>
        <charset val="238"/>
      </rPr>
      <t>- 1 osoba</t>
    </r>
  </si>
  <si>
    <r>
      <t xml:space="preserve">3). Wynagrodzenia nauczycieli za godziny ponadwymiarowe </t>
    </r>
    <r>
      <rPr>
        <i/>
        <sz val="18"/>
        <rFont val="Times New Roman CE"/>
        <charset val="238"/>
      </rPr>
      <t>- 1.189 godz. - 42 osoby</t>
    </r>
  </si>
  <si>
    <r>
      <t xml:space="preserve">4). Wynagrodzenia nauczycieli za zastępstwa </t>
    </r>
    <r>
      <rPr>
        <i/>
        <sz val="18"/>
        <rFont val="Times New Roman CE"/>
        <charset val="238"/>
      </rPr>
      <t>- 627 godz. - 62 osoby</t>
    </r>
  </si>
  <si>
    <r>
      <t xml:space="preserve">5). Nagrody jubileuszowe dla nauczycieli </t>
    </r>
    <r>
      <rPr>
        <i/>
        <sz val="18"/>
        <rFont val="Times New Roman CE"/>
        <charset val="238"/>
      </rPr>
      <t>- 2 osoby</t>
    </r>
  </si>
  <si>
    <r>
      <t xml:space="preserve">7). Zasiłki na zagospodarowanie nauczycieli </t>
    </r>
    <r>
      <rPr>
        <i/>
        <sz val="18"/>
        <rFont val="Times New Roman CE"/>
        <charset val="238"/>
      </rPr>
      <t>- 2 osoby</t>
    </r>
  </si>
  <si>
    <r>
      <t>8). Jednorazowe dodatki uzupełniające za 2017 rok</t>
    </r>
    <r>
      <rPr>
        <i/>
        <sz val="18"/>
        <rFont val="Times New Roman CE"/>
        <charset val="238"/>
      </rPr>
      <t xml:space="preserve"> - 4 osoby</t>
    </r>
  </si>
  <si>
    <r>
      <t>12). Wynagrodzenia pracowników administracji i obsługi</t>
    </r>
    <r>
      <rPr>
        <i/>
        <sz val="18"/>
        <rFont val="Times New Roman CE"/>
        <charset val="238"/>
      </rPr>
      <t xml:space="preserve"> - 26 osób;  25,46 etatu</t>
    </r>
  </si>
  <si>
    <r>
      <t xml:space="preserve">16). Pozostałe wynagrodzenia </t>
    </r>
    <r>
      <rPr>
        <i/>
        <sz val="18"/>
        <rFont val="Times New Roman CE"/>
        <charset val="238"/>
      </rPr>
      <t>- nagrody jubileuszowe 2 osoby</t>
    </r>
  </si>
  <si>
    <r>
      <t xml:space="preserve">6). Wydatki na remonty - </t>
    </r>
    <r>
      <rPr>
        <i/>
        <sz val="18"/>
        <rFont val="Times New Roman CE"/>
        <charset val="238"/>
      </rPr>
      <t>konseracja monitoringu i systemu alarmowego, zakup materialów remontowych, elektrycznych, hydraulicznych, malarskiich</t>
    </r>
  </si>
  <si>
    <t>5). Nagrody jubileuszowe dla nauczycieli</t>
  </si>
  <si>
    <r>
      <t xml:space="preserve">1). Wynagrodzenia osobowe nauczycieli </t>
    </r>
    <r>
      <rPr>
        <i/>
        <sz val="18"/>
        <rFont val="Times New Roman CE"/>
        <charset val="238"/>
      </rPr>
      <t>- 16 osób; 12,73 etatu</t>
    </r>
  </si>
  <si>
    <r>
      <t>2). Wynagrodzenia nauczycieli przebywających na urlopach dla poratowania zdrowia</t>
    </r>
    <r>
      <rPr>
        <i/>
        <sz val="18"/>
        <rFont val="Times New Roman CE"/>
        <charset val="238"/>
      </rPr>
      <t xml:space="preserve"> - 1 osoba</t>
    </r>
  </si>
  <si>
    <r>
      <t xml:space="preserve">3). Wynagrodzenia nauczycieli za godziny ponadwymiarowe </t>
    </r>
    <r>
      <rPr>
        <i/>
        <sz val="18"/>
        <rFont val="Times New Roman CE"/>
        <charset val="238"/>
      </rPr>
      <t>- 76 godz., 1 osoba</t>
    </r>
  </si>
  <si>
    <r>
      <t xml:space="preserve">4). Wynagrodzenia nauczycieli za zastępstwa </t>
    </r>
    <r>
      <rPr>
        <i/>
        <sz val="18"/>
        <rFont val="Times New Roman CE"/>
        <charset val="238"/>
      </rPr>
      <t xml:space="preserve">- 98 godz., 10 osób </t>
    </r>
  </si>
  <si>
    <r>
      <t xml:space="preserve">8). Jednorazowe dodatki uzupełniające za 2017 rok </t>
    </r>
    <r>
      <rPr>
        <i/>
        <sz val="18"/>
        <rFont val="Times New Roman CE"/>
        <charset val="238"/>
      </rPr>
      <t>- 1 osoba</t>
    </r>
  </si>
  <si>
    <r>
      <t xml:space="preserve">12). Wynagrodzenia pracowników administracji i obsługi </t>
    </r>
    <r>
      <rPr>
        <i/>
        <sz val="18"/>
        <rFont val="Times New Roman CE"/>
        <charset val="238"/>
      </rPr>
      <t xml:space="preserve">- 5 osób, 5 etatów </t>
    </r>
  </si>
  <si>
    <r>
      <t>16). Pozostałe wynagrodzenia</t>
    </r>
    <r>
      <rPr>
        <i/>
        <sz val="18"/>
        <rFont val="Times New Roman CE"/>
        <charset val="238"/>
      </rPr>
      <t xml:space="preserve"> - nagroda jubileuszowa 1 osoba </t>
    </r>
  </si>
  <si>
    <r>
      <t xml:space="preserve">6). Wydatki na remonty </t>
    </r>
    <r>
      <rPr>
        <i/>
        <sz val="18"/>
        <rFont val="Times New Roman CE"/>
        <charset val="238"/>
      </rPr>
      <t>- konserwacja węzła cieplnego przy ul. Staszica 17, zakup materiałów remontowych</t>
    </r>
  </si>
  <si>
    <r>
      <t>1). Wynagrodzenia osobowe nauczycieli</t>
    </r>
    <r>
      <rPr>
        <i/>
        <sz val="18"/>
        <rFont val="Times New Roman CE"/>
        <charset val="238"/>
      </rPr>
      <t xml:space="preserve"> - 33 osoby; 26,06 etatu</t>
    </r>
  </si>
  <si>
    <r>
      <t xml:space="preserve">3). Wynagrodzenia nauczycieli za godziny ponadwymiarowe </t>
    </r>
    <r>
      <rPr>
        <i/>
        <sz val="18"/>
        <rFont val="Times New Roman CE"/>
        <charset val="238"/>
      </rPr>
      <t>- 1.020 godz. - 22 osoby</t>
    </r>
  </si>
  <si>
    <r>
      <t>4). Wynagrodzenia nauczycieli za zastępstwa</t>
    </r>
    <r>
      <rPr>
        <i/>
        <sz val="18"/>
        <rFont val="Times New Roman CE"/>
        <charset val="238"/>
      </rPr>
      <t xml:space="preserve"> - 462 godz. - 23 osoby</t>
    </r>
  </si>
  <si>
    <r>
      <t xml:space="preserve">7). Zasiłki na zagospodarowanie nauczycieli </t>
    </r>
    <r>
      <rPr>
        <i/>
        <sz val="18"/>
        <rFont val="Times New Roman CE"/>
        <charset val="238"/>
      </rPr>
      <t>- 1 osoba</t>
    </r>
  </si>
  <si>
    <r>
      <t xml:space="preserve">12). Wynagrodzenia pracowników administracji i obsługi </t>
    </r>
    <r>
      <rPr>
        <i/>
        <sz val="18"/>
        <rFont val="Times New Roman CE"/>
        <charset val="238"/>
      </rPr>
      <t>- 16 osób,  16 etatów</t>
    </r>
  </si>
  <si>
    <t>16). Pozostałe wynagrodzenia - nagrody jubileuszowe 3 osoby</t>
  </si>
  <si>
    <r>
      <t>2). Pomoc zdrowotna dla nauczycieli</t>
    </r>
    <r>
      <rPr>
        <i/>
        <sz val="18"/>
        <rFont val="Times New Roman CE"/>
        <charset val="238"/>
      </rPr>
      <t xml:space="preserve"> - 1 osoba</t>
    </r>
  </si>
  <si>
    <r>
      <t>6). Wydatki na remonty</t>
    </r>
    <r>
      <rPr>
        <i/>
        <sz val="18"/>
        <rFont val="Times New Roman CE"/>
        <charset val="238"/>
      </rPr>
      <t xml:space="preserve"> - zakup materiałów remontowych, konserwacja kserokopiarki, artykuły malarskie</t>
    </r>
  </si>
  <si>
    <r>
      <t>12). Wynagrodzenia pracowników administracji i obsługi</t>
    </r>
    <r>
      <rPr>
        <i/>
        <sz val="18"/>
        <rFont val="Times New Roman CE"/>
        <charset val="238"/>
      </rPr>
      <t xml:space="preserve"> - 8 osób,  8 etatów</t>
    </r>
  </si>
  <si>
    <r>
      <t xml:space="preserve">16). Pozostałe wynagrodzenia - </t>
    </r>
    <r>
      <rPr>
        <i/>
        <sz val="18"/>
        <rFont val="Times New Roman CE"/>
        <charset val="238"/>
      </rPr>
      <t>nagroda jubileuszowa 1 osoba</t>
    </r>
  </si>
  <si>
    <r>
      <t xml:space="preserve">6). Wydatki na remonty - </t>
    </r>
    <r>
      <rPr>
        <i/>
        <sz val="18"/>
        <rFont val="Times New Roman CE"/>
        <charset val="238"/>
      </rPr>
      <t>zakup materiałów hydraulicznych, wykonanie zasilania zestawu gniazdowego w kuchni szkolnej</t>
    </r>
  </si>
  <si>
    <r>
      <t>3). Wynagrodzenia nauczycieli za godziny ponadwymiarowe</t>
    </r>
    <r>
      <rPr>
        <i/>
        <sz val="18"/>
        <rFont val="Times New Roman CE"/>
        <charset val="238"/>
      </rPr>
      <t xml:space="preserve"> - 36 godz., 1 osoba</t>
    </r>
  </si>
  <si>
    <r>
      <t>12). Wynagrodzenia pracowników administracji i obsługi</t>
    </r>
    <r>
      <rPr>
        <i/>
        <sz val="18"/>
        <rFont val="Times New Roman CE"/>
        <charset val="238"/>
      </rPr>
      <t xml:space="preserve"> -</t>
    </r>
  </si>
  <si>
    <r>
      <t xml:space="preserve">1). Wynagrodzenia osobowe nauczycieli </t>
    </r>
    <r>
      <rPr>
        <i/>
        <sz val="18"/>
        <rFont val="Times New Roman CE"/>
        <charset val="238"/>
      </rPr>
      <t xml:space="preserve">- 6 osób, 4,17 etatu </t>
    </r>
  </si>
  <si>
    <r>
      <t>3). Wynagrodzenia nauczycieli za godziny ponadwymiarowe</t>
    </r>
    <r>
      <rPr>
        <i/>
        <sz val="18"/>
        <rFont val="Times New Roman CE"/>
        <charset val="238"/>
      </rPr>
      <t xml:space="preserve"> - 110 godz., 6 osób</t>
    </r>
  </si>
  <si>
    <r>
      <t xml:space="preserve">8). Jednorazowe dodatki uzupełniające za 2017 rok </t>
    </r>
    <r>
      <rPr>
        <i/>
        <sz val="18"/>
        <rFont val="Times New Roman CE"/>
        <charset val="238"/>
      </rPr>
      <t>- 3 osoby</t>
    </r>
  </si>
  <si>
    <t>11). Pozostałe wynagrodzenia - 1 osoba</t>
  </si>
  <si>
    <r>
      <t xml:space="preserve">Projekt z zakresu profilaktyki alkoholowej realizowany przez </t>
    </r>
    <r>
      <rPr>
        <b/>
        <i/>
        <sz val="18"/>
        <rFont val="Times New Roman"/>
        <family val="1"/>
        <charset val="238"/>
      </rPr>
      <t xml:space="preserve">Świetlicę profilaktyczno-wychowawczą "Centrum Dobrego Wychowania" </t>
    </r>
    <r>
      <rPr>
        <i/>
        <sz val="18"/>
        <rFont val="Times New Roman"/>
        <family val="1"/>
        <charset val="238"/>
      </rPr>
      <t xml:space="preserve">- </t>
    </r>
    <r>
      <rPr>
        <b/>
        <i/>
        <sz val="18"/>
        <rFont val="Times New Roman"/>
        <family val="1"/>
        <charset val="238"/>
      </rPr>
      <t>Szkole Podstawowej Nr 2 w Łęcznej</t>
    </r>
    <r>
      <rPr>
        <i/>
        <sz val="18"/>
        <rFont val="Times New Roman"/>
        <family val="1"/>
        <charset val="238"/>
      </rPr>
      <t xml:space="preserve"> </t>
    </r>
  </si>
  <si>
    <r>
      <t>Projekt z zakresu profilaktyki alkoholowej realizowany w</t>
    </r>
    <r>
      <rPr>
        <b/>
        <i/>
        <sz val="18"/>
        <rFont val="Times New Roman"/>
        <family val="1"/>
        <charset val="238"/>
      </rPr>
      <t xml:space="preserve">Szkole Podstawowej Nr 2 w Łęcznej </t>
    </r>
  </si>
  <si>
    <r>
      <t xml:space="preserve">12). Wynagrodzenia pracowników administracji i obsługi </t>
    </r>
    <r>
      <rPr>
        <i/>
        <sz val="18"/>
        <rFont val="Times New Roman CE"/>
        <charset val="238"/>
      </rPr>
      <t>- 3 osoby,  1,40 etatu</t>
    </r>
  </si>
  <si>
    <r>
      <t xml:space="preserve">1). Wynagrodzenia osobowe nauczycieli </t>
    </r>
    <r>
      <rPr>
        <i/>
        <sz val="18"/>
        <rFont val="Times New Roman CE"/>
        <charset val="238"/>
      </rPr>
      <t>- 15 osób; 12,63 etatu</t>
    </r>
  </si>
  <si>
    <r>
      <t xml:space="preserve">3). Wynagrodzenia nauczycieli za godziny ponadwymiarowe </t>
    </r>
    <r>
      <rPr>
        <i/>
        <sz val="18"/>
        <rFont val="Times New Roman CE"/>
        <charset val="238"/>
      </rPr>
      <t>- 75 godz., 2 osoby</t>
    </r>
  </si>
  <si>
    <r>
      <t xml:space="preserve">4). Wynagrodzenia nauczycieli za zastępstwa </t>
    </r>
    <r>
      <rPr>
        <i/>
        <sz val="18"/>
        <rFont val="Times New Roman CE"/>
        <charset val="238"/>
      </rPr>
      <t>- 174 godz., 27 osób</t>
    </r>
  </si>
  <si>
    <r>
      <t xml:space="preserve">11). Pozostałe wynagrodzenia - </t>
    </r>
    <r>
      <rPr>
        <i/>
        <sz val="18"/>
        <rFont val="Times New Roman CE"/>
        <charset val="238"/>
      </rPr>
      <t>ekwiwalent za urlop - 2 osoby</t>
    </r>
  </si>
  <si>
    <r>
      <t xml:space="preserve">2). Pomoc zdrowotna dla nauczycieli </t>
    </r>
    <r>
      <rPr>
        <i/>
        <sz val="18"/>
        <rFont val="Times New Roman CE"/>
        <charset val="238"/>
      </rPr>
      <t>- 2 osoby</t>
    </r>
  </si>
  <si>
    <t>7). Środki dydaktyczne służące procesowi dydaktyczno-wychowawczemu realizowanemu w szkołach i placówkach oświatowych, książki i inne zbiory biblioteczne</t>
  </si>
  <si>
    <t>18). Zakup materiałów, sprzętu i urządzeń na potrzeby szkoły</t>
  </si>
  <si>
    <r>
      <t xml:space="preserve">1). Wynagrodzenia osobowe nauczycieli </t>
    </r>
    <r>
      <rPr>
        <i/>
        <sz val="18"/>
        <rFont val="Times New Roman CE"/>
        <charset val="238"/>
      </rPr>
      <t>- 52 osoby; 44,78 etatu</t>
    </r>
  </si>
  <si>
    <r>
      <t xml:space="preserve">3). Wynagrodzenia nauczycieli za godziny ponadwymiarowe </t>
    </r>
    <r>
      <rPr>
        <i/>
        <sz val="18"/>
        <rFont val="Times New Roman CE"/>
        <charset val="238"/>
      </rPr>
      <t>- 3.015 godz. - 58 osób</t>
    </r>
  </si>
  <si>
    <r>
      <t xml:space="preserve">4). Wynagrodzenia nauczycieli za zastępstwa </t>
    </r>
    <r>
      <rPr>
        <i/>
        <sz val="18"/>
        <rFont val="Times New Roman CE"/>
        <charset val="238"/>
      </rPr>
      <t>- 1.668 godz. - 60 osób</t>
    </r>
  </si>
  <si>
    <r>
      <t xml:space="preserve">12). Wynagrodzenia pracowników administracji i obsługi </t>
    </r>
    <r>
      <rPr>
        <i/>
        <sz val="18"/>
        <rFont val="Times New Roman CE"/>
        <charset val="238"/>
      </rPr>
      <t>- 20 osób;  20 etatów</t>
    </r>
  </si>
  <si>
    <r>
      <t xml:space="preserve">16). Pozostałe wynagrodzenia - </t>
    </r>
    <r>
      <rPr>
        <i/>
        <sz val="18"/>
        <rFont val="Times New Roman CE"/>
        <charset val="238"/>
      </rPr>
      <t xml:space="preserve">godziny nadliczbowe </t>
    </r>
  </si>
  <si>
    <r>
      <t xml:space="preserve">6). Wydatki na remonty - </t>
    </r>
    <r>
      <rPr>
        <i/>
        <sz val="18"/>
        <rFont val="Times New Roman CE"/>
        <charset val="238"/>
      </rPr>
      <t>zakup materiałów remontowych, naprawa sprzętu biurowego</t>
    </r>
  </si>
  <si>
    <t>Modernizacja łazienek zlokalizowanych w budynku Szkoły Podstawowej Nr 4 w Łęcznej</t>
  </si>
  <si>
    <r>
      <t>1). Wynagrodzenia osobowe nauczycieli</t>
    </r>
    <r>
      <rPr>
        <i/>
        <sz val="18"/>
        <rFont val="Times New Roman CE"/>
        <charset val="238"/>
      </rPr>
      <t xml:space="preserve"> - 13 osób; 10,64 etatu</t>
    </r>
  </si>
  <si>
    <r>
      <t xml:space="preserve">3). Wynagrodzenia nauczycieli za godziny ponadwymiarowe </t>
    </r>
    <r>
      <rPr>
        <i/>
        <sz val="18"/>
        <rFont val="Times New Roman CE"/>
        <charset val="238"/>
      </rPr>
      <t>- 141 godz., 5 osób</t>
    </r>
  </si>
  <si>
    <r>
      <t>4). Wynagrodzenia nauczycieli za zastępstwa</t>
    </r>
    <r>
      <rPr>
        <i/>
        <sz val="18"/>
        <rFont val="Times New Roman CE"/>
        <charset val="238"/>
      </rPr>
      <t xml:space="preserve"> - 63 godz., 3 osoby</t>
    </r>
  </si>
  <si>
    <r>
      <t>16). Pozostałe wynagrodzenia -</t>
    </r>
    <r>
      <rPr>
        <i/>
        <sz val="18"/>
        <rFont val="Times New Roman CE"/>
        <charset val="238"/>
      </rPr>
      <t xml:space="preserve"> nagroda jubileuszowa 1 osoba</t>
    </r>
  </si>
  <si>
    <r>
      <t xml:space="preserve">3). Wynagrodzenia nauczycieli za godziny ponadwymiarowe </t>
    </r>
    <r>
      <rPr>
        <i/>
        <sz val="18"/>
        <rFont val="Times New Roman CE"/>
        <charset val="238"/>
      </rPr>
      <t>- 1.557 godz. - 26 osób</t>
    </r>
  </si>
  <si>
    <r>
      <t>4). Wynagrodzenia nauczycieli za zastępstwa</t>
    </r>
    <r>
      <rPr>
        <i/>
        <sz val="18"/>
        <rFont val="Times New Roman CE"/>
        <charset val="238"/>
      </rPr>
      <t xml:space="preserve"> - 171 godz. - 23 osoby</t>
    </r>
  </si>
  <si>
    <r>
      <t>6). Wydatki na remonty</t>
    </r>
    <r>
      <rPr>
        <i/>
        <sz val="18"/>
        <rFont val="Times New Roman CE"/>
        <charset val="238"/>
      </rPr>
      <t xml:space="preserve"> - zakup materiałów remontowych</t>
    </r>
  </si>
  <si>
    <r>
      <t>1). Wynagrodzenia osobowe nauczycieli</t>
    </r>
    <r>
      <rPr>
        <i/>
        <sz val="18"/>
        <rFont val="Times New Roman CE"/>
        <charset val="238"/>
      </rPr>
      <t xml:space="preserve"> - 21 osób; 19,61 etatu</t>
    </r>
  </si>
  <si>
    <r>
      <t xml:space="preserve">5). Nagrody jubileuszowe dla nauczycieli </t>
    </r>
    <r>
      <rPr>
        <i/>
        <sz val="18"/>
        <rFont val="Times New Roman CE"/>
        <charset val="238"/>
      </rPr>
      <t xml:space="preserve">- 2 osoby </t>
    </r>
  </si>
  <si>
    <r>
      <t xml:space="preserve">12). Wynagrodzenia pracowników administracji i obsługi </t>
    </r>
    <r>
      <rPr>
        <i/>
        <sz val="18"/>
        <rFont val="Times New Roman CE"/>
        <charset val="238"/>
      </rPr>
      <t>- 7 osób,  7 etatów</t>
    </r>
  </si>
  <si>
    <r>
      <t xml:space="preserve">13). Nagrody dla pracowników administracji i obsługi  </t>
    </r>
    <r>
      <rPr>
        <i/>
        <sz val="18"/>
        <rFont val="Times New Roman CE"/>
        <charset val="238"/>
      </rPr>
      <t>- 1 osoba</t>
    </r>
  </si>
  <si>
    <r>
      <t xml:space="preserve">16). Pozostałe wynagrodzenia </t>
    </r>
    <r>
      <rPr>
        <i/>
        <sz val="18"/>
        <rFont val="Times New Roman CE"/>
        <charset val="238"/>
      </rPr>
      <t>- nagroda jubileuszowa, odprawa emerytalna</t>
    </r>
  </si>
  <si>
    <r>
      <t xml:space="preserve">16). Pozostałe wynagrodzenia </t>
    </r>
    <r>
      <rPr>
        <i/>
        <sz val="18"/>
        <rFont val="Times New Roman CE"/>
        <charset val="238"/>
      </rPr>
      <t>(nagroda jubileuszowa)</t>
    </r>
  </si>
  <si>
    <t>11). Pozostałe wynagrodzenia</t>
  </si>
  <si>
    <t>2). Pomoc zdrowotna dla nauczycieli</t>
  </si>
  <si>
    <r>
      <t xml:space="preserve">1). Wynagrodzenia osobowe nauczycieli </t>
    </r>
    <r>
      <rPr>
        <i/>
        <sz val="18"/>
        <rFont val="Times New Roman CE"/>
        <charset val="238"/>
      </rPr>
      <t>- 7 osób, 7 etatów</t>
    </r>
  </si>
  <si>
    <r>
      <t xml:space="preserve">8). Jednorazowe dodatki uzupełniające za 2017 rok </t>
    </r>
    <r>
      <rPr>
        <i/>
        <sz val="18"/>
        <rFont val="Times New Roman CE"/>
        <charset val="238"/>
      </rPr>
      <t>-2 osoby</t>
    </r>
  </si>
  <si>
    <r>
      <t xml:space="preserve">1). Wynagrodzenia osobowe nauczycieli </t>
    </r>
    <r>
      <rPr>
        <i/>
        <sz val="18"/>
        <rFont val="Times New Roman CE"/>
        <charset val="238"/>
      </rPr>
      <t>- 3 osoby, 2,78 etatu</t>
    </r>
  </si>
  <si>
    <r>
      <t xml:space="preserve">Projekt z zakresu profilaktyki alkoholowej realizowany w </t>
    </r>
    <r>
      <rPr>
        <b/>
        <i/>
        <sz val="18"/>
        <rFont val="Times New Roman"/>
        <family val="1"/>
        <charset val="238"/>
      </rPr>
      <t xml:space="preserve">Szkole Podstawowej Nr 4 w Łęcznej </t>
    </r>
  </si>
  <si>
    <r>
      <t xml:space="preserve">1). Wynagrodzenia osobowe nauczycieli </t>
    </r>
    <r>
      <rPr>
        <i/>
        <sz val="18"/>
        <rFont val="Times New Roman CE"/>
        <charset val="238"/>
      </rPr>
      <t>- 10 osób; 9 etatów</t>
    </r>
  </si>
  <si>
    <r>
      <t xml:space="preserve">2). Wynagrodzenia nauczycieli przebywających na urlopach dla poratowania zdrowia </t>
    </r>
    <r>
      <rPr>
        <i/>
        <sz val="18"/>
        <rFont val="Times New Roman CE"/>
        <charset val="238"/>
      </rPr>
      <t>- 2 osoby</t>
    </r>
  </si>
  <si>
    <t xml:space="preserve">2). Nagrody dla pracowników administracji i obsługi </t>
  </si>
  <si>
    <t>3). Dodatkowe wynagrodzenie roczne tzw. "13"</t>
  </si>
  <si>
    <t>6). Składki na ubezpieczenie społeczne i fundusz pracy</t>
  </si>
  <si>
    <t>3). Wydatki na zakup środków czystości</t>
  </si>
  <si>
    <t>4). Zakup sprzętu komputerowego, drukarek nie służącego procesowi dydaktycznemu</t>
  </si>
  <si>
    <t>5). Wydatki na materiały biurowe i kancelaryjne, tonery</t>
  </si>
  <si>
    <t xml:space="preserve">6). Pozostałe meble </t>
  </si>
  <si>
    <t>7). Wydatki na energię elektryczną, energię cieplną, gaz, woda</t>
  </si>
  <si>
    <t>8). Wywóz nieczystości i odprowadzenie ścieków</t>
  </si>
  <si>
    <t>9). Wydatki na ubezpieczenie majątku i osób</t>
  </si>
  <si>
    <t>10). Odpis na ZFŚS</t>
  </si>
  <si>
    <t>1). Wynagrodzenia pracowników administracji i obsługi - 21 osób, 20,75 etatu</t>
  </si>
  <si>
    <t>4). Wynagrodzenia z tytułu umów zleceń i o dzieło - 2 umowy</t>
  </si>
  <si>
    <r>
      <t xml:space="preserve">5). Pozostałe wynagrodzenia </t>
    </r>
    <r>
      <rPr>
        <i/>
        <sz val="18"/>
        <rFont val="Times New Roman CE"/>
        <charset val="238"/>
      </rPr>
      <t>- nagroda jubileuszowa, odprawa emerytalna</t>
    </r>
  </si>
  <si>
    <t>Dowożenie uczniów do Szkoły Podstawowej w Zofiówce, Szkoły Podstawowej w Ciechankach Łęczyńskich,  Ośrodka Rewalidacyjno-Wychowawczego w Łęcznej, Specjalistycznego Ośrodka Szkolno-Wychowawczego w Bystrzycy, Specjalnego Osrodka Szkolno-Wychowawczego w Kozicach Dolnych, Szkoły Podstawowej Specjalnej Nr 26 w Lublinie, Branżowej Szkoły Wielozawodowej Specjalnej I stopnia Nr 2 w Lublinie, Specjalnego Ośrodka Szkolno-Wychowawczego dla dzieci i młodzieżyniesłyszącej i słabosłyszącej w Lublinie, Ośrodka Szkolno-Wychowawczego Nr 2 w Lublinie oraz przedszkola w Lublinie</t>
  </si>
  <si>
    <t>Pomoc materialna dla uczniów</t>
  </si>
  <si>
    <t>Stypendia socjalne i zasiłki dla dzieci i młodzieży wypłacone w ramach dotacji z budżetu państwa</t>
  </si>
  <si>
    <t>Zadanie realizowane przez Zespół Obsługi Szkół i Przedszkoli w Łęcznej</t>
  </si>
  <si>
    <t>Wypłacono stypendia oraz zasiłki dla młodzieży.</t>
  </si>
  <si>
    <t>stypendia socjalne (88 uczniów)</t>
  </si>
  <si>
    <t xml:space="preserve">zasiłki szkolne (1 uczeń) </t>
  </si>
  <si>
    <t>"Klub Twórczego Rodzica" propagujący kreatywny sposób spędzania czasu z dziećmi, I etap w m-cach styczeń-kwiecień, II etap w m-cach październik-grudzień, spotkania odbywaja się 2 razy w tygodniu</t>
  </si>
  <si>
    <t>"Wolontariat Małolata" klub wolontariatu działający na rzecz podopiecznych MOPS, realizowany w okresie od stycznia do grudnia</t>
  </si>
  <si>
    <t>"Podchody Rodzinne" zabawa zrealizowana 13 maja 2018 roku, w której wzięło udział ok. 130 osób</t>
  </si>
  <si>
    <t>"Wakacje na wsi" realizowane w dniach 09.07.2018 - 3.08.2018</t>
  </si>
  <si>
    <t>"Warsztaty Rodzinne" organizowane dla rodzin z dziećmi, w ramach warsztatów prowadzono spotkania z psycholotgiem i pedagogiem, warsztaty od 15.02.2018 do 11.05.2018</t>
  </si>
  <si>
    <t>"Dzień Latawca" festyn rodzinny przewidywany na wrzesień 2018</t>
  </si>
  <si>
    <t>Grupa wsparcia dla kobiet doświadczających przemocy (marzec-grudzień 2018)</t>
  </si>
  <si>
    <t>Klub Kobiet Aktywnych przeznaczony dla kobiet, których głównym zajeciem jest prowadzenie domu i wychowywanie dzieci, styczeń-grudzień 2018</t>
  </si>
  <si>
    <t>Piknik rodzinny zrealizowany 25 maja, w którym wzieło udział ok. 300 osób</t>
  </si>
  <si>
    <t>Piknik rodzinny "Stawiamy na rodzinę" realizowany na Rynku II Osiedle Stare Miasto w Łęcznej w dniu 22 czerwca 2018 roku, wzięło ok. 250 osób</t>
  </si>
  <si>
    <t>2). Dodatkowe wynagrodzenie roczne tzw. "13"</t>
  </si>
  <si>
    <t>3). Składki na ubezpieczenie społeczne i fundusz pracy</t>
  </si>
  <si>
    <t>1). Wydatki na zakup środków ochrony indywidualnej oraz odzieży i obuwia roboczego</t>
  </si>
  <si>
    <t>2). Wydatki na zakup materiałów biurowych i wyposażenia (artykuły biurowe, chemiczne, toner do drukarek, papier xero)</t>
  </si>
  <si>
    <t xml:space="preserve">3). Wydatki na remonty </t>
  </si>
  <si>
    <t>4). Wydatki na zakup usług telefonicznych</t>
  </si>
  <si>
    <t>5). Wydatki na delegacje służbowe</t>
  </si>
  <si>
    <t>6). Wydatki na ubezpieczenie majątku i osób</t>
  </si>
  <si>
    <t>7). Odpis na ZFŚS</t>
  </si>
  <si>
    <t>8). Pozostałe wydatki bieżące</t>
  </si>
  <si>
    <t>1). Wynagrodzenia osobowe pracowników (19,45 etatów - dofinansowanie )</t>
  </si>
  <si>
    <t>*-</t>
  </si>
  <si>
    <t xml:space="preserve">3). Wynagrodzenia z tytułu umów zleceń (2 umowy) </t>
  </si>
  <si>
    <t>4). Składki na ubezpieczenie społeczne i fundusz pracy</t>
  </si>
  <si>
    <t>2). Wydatki na zakup materiałów biurowych (papier xero, druki, etyliny do samochodu, środki czystości)</t>
  </si>
  <si>
    <t>8). Opłaty czynszowe za pomieszczenia biurowe</t>
  </si>
  <si>
    <t>9). Zakup energii</t>
  </si>
  <si>
    <t>10). Wydatek na PFRON</t>
  </si>
  <si>
    <t>11). Pozostałe wydatki bieżące</t>
  </si>
  <si>
    <t>1). Wynagrodzenia osobowe pracowników (19,45 etatów - dofinansowanie - 22 osoby + 6 etatów samorządowych - 6 osób)</t>
  </si>
  <si>
    <r>
      <rPr>
        <b/>
        <sz val="18"/>
        <rFont val="Times New Roman"/>
        <family val="1"/>
        <charset val="238"/>
      </rPr>
      <t>Środki samorządowe</t>
    </r>
    <r>
      <rPr>
        <sz val="18"/>
        <rFont val="Times New Roman"/>
        <family val="1"/>
        <charset val="238"/>
      </rPr>
      <t xml:space="preserve">  dla </t>
    </r>
    <r>
      <rPr>
        <b/>
        <sz val="18"/>
        <rFont val="Times New Roman"/>
        <family val="1"/>
        <charset val="238"/>
      </rPr>
      <t>Miejskiego Ośrodka Pomocy Społecznej w Łęcznej</t>
    </r>
    <r>
      <rPr>
        <sz val="18"/>
        <rFont val="Times New Roman"/>
        <family val="1"/>
        <charset val="238"/>
      </rPr>
      <t xml:space="preserve"> na realizację imprezy "Powitanie wakacji" w dniu 22 czerwca 2018 roku</t>
    </r>
  </si>
  <si>
    <t>4). Wynagrodzenia bezosobowe</t>
  </si>
  <si>
    <t>WYPŁATA ŚWIADCZEŃ SPOŁECZNYCH</t>
  </si>
  <si>
    <t>wypłata świadczeń rodzinnych 500+</t>
  </si>
  <si>
    <t>III</t>
  </si>
  <si>
    <t>1). Wydatek na zakup środków ochrony indywidualnej oraz odzieży i obuwia roboczego</t>
  </si>
  <si>
    <t xml:space="preserve">2). Wydatki na zakup materiałów biurowych i wyposażenia </t>
  </si>
  <si>
    <t>3). Wydatki na zwrot delegacji służbowych</t>
  </si>
  <si>
    <t>5). Odpis na ZFŚS</t>
  </si>
  <si>
    <t>4). Odpis na ZFŚS</t>
  </si>
  <si>
    <t>5). Zakup usług telefonicznych</t>
  </si>
  <si>
    <t>6). Zakup energii</t>
  </si>
  <si>
    <t>7). Pozostałe wydatki bieżące</t>
  </si>
  <si>
    <t>1). Wynagrodzenia osobowe pracowników (5 osób; 5 etatów)</t>
  </si>
  <si>
    <t xml:space="preserve">3). Składki na ubezpieczenie społeczne i fundusz pracy </t>
  </si>
  <si>
    <t xml:space="preserve"> zasiłki rodzinne</t>
  </si>
  <si>
    <t xml:space="preserve"> dodatek z tytułu urodzenia dziecka</t>
  </si>
  <si>
    <t xml:space="preserve"> jednorazowa zapomoga z tytułu urodzenia dziecka</t>
  </si>
  <si>
    <t xml:space="preserve"> dodatek z tytułu opieki nad dzieckiem w okresie korzystania z urlopu wychowawczego</t>
  </si>
  <si>
    <t xml:space="preserve"> dodatek z tytułu samotnego wychowywania dzieci</t>
  </si>
  <si>
    <t xml:space="preserve"> dodatek z tytułu wychowywania dziecka w rodzinie wielodzietnej</t>
  </si>
  <si>
    <t xml:space="preserve"> dodatek z tytułu kształcenia i rehabilitacji dziecka niepełnosprawnego</t>
  </si>
  <si>
    <t xml:space="preserve"> dodatek z tytułu rozpoczęcia roku szkolnego</t>
  </si>
  <si>
    <t xml:space="preserve"> dodatek z tytułu podjęcia przez dziecko nauki w szkole poza miejscem zamieszkania - zamieszkanie</t>
  </si>
  <si>
    <t xml:space="preserve"> dodatek z tytułu podjęcia przez dziecko nauki w szkole poza miejscem zamieszkania - dojazdy</t>
  </si>
  <si>
    <t>fundusz alimentacyjny</t>
  </si>
  <si>
    <t>świadczenie rodzicielskie</t>
  </si>
  <si>
    <t xml:space="preserve"> zasiłek pielęgnacyjny</t>
  </si>
  <si>
    <t>zasiłek dla opiekuna</t>
  </si>
  <si>
    <t>specjalny zasiłek opiekuńczy</t>
  </si>
  <si>
    <t xml:space="preserve"> świadczenie pielęgnacyjne</t>
  </si>
  <si>
    <t xml:space="preserve">2). Wydatki na zakup materiałów biurowych </t>
  </si>
  <si>
    <t>4). Wydatki na ubezpieczenie majątku i osób</t>
  </si>
  <si>
    <t>6). Wydatek na opłatę kosztów postępowania sądowego 
i prokuratorskiego</t>
  </si>
  <si>
    <t xml:space="preserve">1). Wynagrodzenia osobowe pracowników </t>
  </si>
  <si>
    <t>2). Składki na ubezpieczenie społeczne i fundusz pracy</t>
  </si>
  <si>
    <r>
      <t xml:space="preserve">Wydatki na realizację zadania zleconego z zakresu administracji rządowej dla </t>
    </r>
    <r>
      <rPr>
        <b/>
        <sz val="18"/>
        <rFont val="Times New Roman"/>
        <family val="1"/>
        <charset val="238"/>
      </rPr>
      <t>Miejskiego Ośrodka Pomocy Społecznej w Łęcznej</t>
    </r>
    <r>
      <rPr>
        <sz val="18"/>
        <rFont val="Times New Roman"/>
        <family val="1"/>
        <charset val="238"/>
      </rPr>
      <t xml:space="preserve"> z przeznaczeniem na realizację zadań związanych z przyznawaniem Kart Dużej Rodziny</t>
    </r>
  </si>
  <si>
    <t>1). Opłaty za pobyt dzieci w placówkach opiekuńczo-wychowawczych - 4 dzieci lub rodzinach zastępczych - 11 dzieci oraz w rodzinach zastepczych pełniących funkcję pogotowia rodzinnego - 2 dzieci</t>
  </si>
  <si>
    <t>2). Koszty związane z zatrudnieniem asystenta rodziny - 2 etaty</t>
  </si>
  <si>
    <t>3). Wydatek na zakup środków ochrony indywidualnej oraz odzieży i obuwia roboczego</t>
  </si>
  <si>
    <t>6). Zakup usług zdrowotnych</t>
  </si>
  <si>
    <t>4). Podróże służbowe</t>
  </si>
  <si>
    <r>
      <rPr>
        <b/>
        <sz val="18"/>
        <rFont val="Times New Roman"/>
        <family val="1"/>
        <charset val="238"/>
      </rPr>
      <t>Wydatki na realizację zadania zleconego z zakresu administracji rządowej</t>
    </r>
    <r>
      <rPr>
        <sz val="18"/>
        <rFont val="Times New Roman"/>
        <family val="1"/>
        <charset val="238"/>
      </rPr>
      <t xml:space="preserve"> dla</t>
    </r>
    <r>
      <rPr>
        <b/>
        <sz val="18"/>
        <rFont val="Times New Roman"/>
        <family val="1"/>
        <charset val="238"/>
      </rPr>
      <t xml:space="preserve"> Miejskiego Ośrodka Pomocy Społecznej w Łęcznej</t>
    </r>
    <r>
      <rPr>
        <sz val="18"/>
        <rFont val="Times New Roman"/>
        <family val="1"/>
        <charset val="238"/>
      </rPr>
      <t xml:space="preserve"> z przeznaczeniem na realizację programu "Dobry Start"</t>
    </r>
  </si>
  <si>
    <t>Zadanie w trakcie realizacji .  Zawarto umowę nr IRG.272.16.2018 na roboty budowlane z terminem wykonania do 20.08.2018 r.</t>
  </si>
  <si>
    <t>Zadanie w trakcie realizacji. Zgodnie z umowę nr IRG.272.37.2017 aktualizowana jest dokumentacja projektowa przebudów elektroenergetycznych z terminem wykonania do 30.07.2018 r.</t>
  </si>
  <si>
    <t xml:space="preserve">Zadanie będzie realizowane w II półroczu. </t>
  </si>
  <si>
    <t xml:space="preserve">Zadanie w trakcie realizacji.  W I półroczu zgodnie z umową nr IRG.272.11.2018 rozpoczęto wymianę instalacji elektrycznej. Zgodnie z umową nrIRG.272.13.2018 rozpoczęto wymianę instalacji c.o. i instalacji wentylacji mechanicznej. Zgodnie z umową nr IRG.272.14.2018 rozpoczęto realizację w zakresie wymiany stolarki okiennej i drzwi zewnętrznych.  </t>
  </si>
  <si>
    <t>Zadanie zrealizowano. Zgodnie z zamówieniem nr IRG.042.3.3.2018 sporządzono dokumentację potwierdzającą osiągnięcie efektu ekologicznego.</t>
  </si>
  <si>
    <t>W ramach tego zadania wydatkowano środki na wypłatę zaliczek na pokrycie kosztów zarządu nieruchomością wspólną  w budynkach Wspólnot Mieszkaniowych (zgodnie z ustawą „o własności lokali”) oraz na opłaty za media w lokalach komunalnych i socjalnych będących własnością Gminy Łęczna. Pokryte zostały koszty zakupu materiałów eksploatacyjnych niezbędnych do wykonania konserwacji bieżących w budynkach, wykonano przeglądy instalacji gazowej, wentylacyjnej.  Uregulowane zostały opłaty za gospodarowanie odpadami komunalnymi oraz opłaty za dostarczenie wody do budynków stanowiących własność gminy. Zlecona została próba szczelności gazu w zasiedlanych lokalu przy ul. Rynek III 33/2. Wykonano remont mieszkania komunalnego przy ul Jagiełka 2/1 (malowanie ścian, wylewka posadzki, wyłożenie wykładziną PCV, wymiana drzwi wew.).</t>
  </si>
  <si>
    <t>W ramach tego zadania wydatkowano środki dotyczące kosztów utrzymanie lokali mieszkalnych będących własnością gminy położonych przy ul. Wrzosowej 3, w tym: opłaty czynszowe za lokal, refundowane przez najemców.</t>
  </si>
  <si>
    <t xml:space="preserve"> W ramach tego zadania uregulowano opłaty w Sądzie Rejonowym w Świdniku związane z regulacją stanów prawnych nieruchomości.</t>
  </si>
  <si>
    <t>W ramach realizacji zadania wypłacono łącznie  771 dodatków mieszkaniowych, z tego  149 dla lokatorów zamieszkujących w lokalach gminnych,  610 dla lokatorów spółdzielni mieszkaniowych,  6 dla wspólnot mieszkaniowych,  6 dla innych lokali mieszkalnych.</t>
  </si>
  <si>
    <t xml:space="preserve">Wydatek poniesiony z tytułu wydanej decyzji znak OS.6124.129.2017, OS.6124.165.2.2015  Starosty Łęczyńskiego o opłacie za trwałe wyłączenie gruntu z rolniczego użytkowania. </t>
  </si>
  <si>
    <r>
      <t>Modernizacja placu przy amfiteatrze przy ul. Staszica -</t>
    </r>
    <r>
      <rPr>
        <b/>
        <sz val="18"/>
        <rFont val="Times New Roman CE"/>
        <charset val="238"/>
      </rPr>
      <t xml:space="preserve"> budżet partycypacyjny - Rada Osiedla Samsonowicza</t>
    </r>
  </si>
  <si>
    <t>W ramach realizacji zadania ponoszono koszty wynikające z zadań w zakresie gospodarowania odpadami oraz prowadzenia punktu selektywnej zbiórki odpadów umowa nr GKiOŚ.272.64.2017 -  PGKiM Łęczna sp. z o.o., w ramach prowadzonej działalności odebrano  od właścicieli posesji zamieszkałych   1.771 Mg odpadów zmieszanych oraz 202,1 Mg odpadów zebranych selektywnie oraz 175,2 Mg dostarczonych do PSZOK , popiołu 175,2 Mg .</t>
  </si>
  <si>
    <t>W ramach zadania w okresie zimowym realizowano bieżące utrzymanie chodników i placów gminnych w zakresie odśnieżania i zwalczania śliskości przez zleceniobiorcę wyłonionego w postępowaniu przetargowym firmę RODEX  (umowa nr GKiOŚ.272.2.2017), zlecono również prace: ciągnik z pługiem i piaskarko-solarką - 236,5 godz., ciągnik z piaskarko-solarką - 199,5 godz., praca przy ręcznym odśnieżaniu - 1242 godz. koparko ładowarka - 10,5 godz.</t>
  </si>
  <si>
    <t>W ramach realizacji zadania zlecano  koszenie miejskich terenów zielonych wraz z zebraniem pokosów  w ilości 3.498 ar, zadanie realizowane na podstawie umowy  z P.W. Drabik nr GKiOŚ.272.26.2018. Zakupiono również narzędzia i sprzęty dla pracowników gospodarczych  zatrudnionych do pielęgnacji zieleni i utrzymania czystości na terenach gminnych.</t>
  </si>
  <si>
    <t>W ramach realizacji zadania ułożono  w wykopach 460 mb linii kablowej YAKY 4x25m2 oraz ustawiono 11 szt. fundamentów prefabrykowanych pod słupy oświetleniowe, roboty budowlane wykonane na podstawie umowy GKiOŚ.272.12.2018 przez ZHUP ELROX.</t>
  </si>
  <si>
    <t>W ramach realizacji zadania wykonywano naprawy sieci kanalizacji deszczowej na terenie miasta: studnia kanalizacji deszczowej przy ul. Stasica 8 - zlecenie GKiOŚ.7021.29.2018, studnia kanalizacji deszczowej, dz. Nr 2537 ( ścieżka rowerowa)  - zlecenie GKiOŚ.7021.28.2018, studnia kanalizacji deszczowej  ciąg pieszo - jezdny od ul. Armii Krajowej do Obrońców Pokoju - zlecenie GKiOŚ.7021.46.2018  wykonawca robót  P.W. RODEX.</t>
  </si>
  <si>
    <t>Zadanie realizowane przez Gminę w związku z obowiązkiem ustawowym jako zadanie własne. Zawarto umowę GKiOŚ.272.10.2018 ze Schroniskiem Dla Bezdomnych Zwierząt w m. Nowodwór gm. Lubartów na odłów bezdomnych psów z terenu Gminy. W ramach jej realizacji odłowiono 17 szt. bezdomnych psów, zlecono opiekę weterynaryjną dla 5 psów poszkodowanych w wypadku samochodowym. Poniesiono również koszty całodobowej opieki weterynaryjnej w przypadkach nagłych - zlecenie nr GKiOŚ.6140.1.2018 dla Gabinetu Weterynaryjnego PIOWET .</t>
  </si>
  <si>
    <t>W ramach realizacji zdania zlecono sterylizację kotów w gabinecie weterynaryjnym E. Lutomskiej EL- WET - zlecenie GKiOŚ.7021.3.2017 oraz w ramach dokarmiania bezdomnych kotów zakupiono karmę zgodnie z zamówieniem GKiOŚ.6140.3.2018.</t>
  </si>
  <si>
    <t>W ramach realizacji zadania ponoszone były koszty zakupu wody do zdroii ulicznych zlokalizowanych na terenie miasta zgodnie z umową GKiOŚ.272.40.2015 z PGKiM Łęczna</t>
  </si>
  <si>
    <t>W ramach realizacji zadania doposażono istniejący plac zabaw w urządzenia zabawowe (bujak na sprężynie szt. 2 , tablice zabawowe szt.2, zestaw zabawowy drewniany )  dostawca ActiveLine umowa GKiOŚ.272.28.2018.</t>
  </si>
  <si>
    <r>
      <t>Modernizacja Skate Parku na osiedlu Niepodległości (działka nr 3099/31) -</t>
    </r>
    <r>
      <rPr>
        <b/>
        <sz val="18"/>
        <rFont val="Times New Roman CE"/>
        <charset val="238"/>
      </rPr>
      <t xml:space="preserve"> budżet partycypacyjny - Rada Osiedla Niepodległości</t>
    </r>
  </si>
  <si>
    <r>
      <t xml:space="preserve">zadanie z zakresu edukacji ekologicznej </t>
    </r>
    <r>
      <rPr>
        <b/>
        <i/>
        <sz val="18"/>
        <rFont val="Times New Roman"/>
        <family val="1"/>
        <charset val="238"/>
      </rPr>
      <t xml:space="preserve">"Dzieci kontra śmieci" </t>
    </r>
    <r>
      <rPr>
        <i/>
        <sz val="18"/>
        <rFont val="Times New Roman"/>
        <family val="1"/>
        <charset val="238"/>
      </rPr>
      <t xml:space="preserve">realizowane przez </t>
    </r>
    <r>
      <rPr>
        <b/>
        <i/>
        <sz val="18"/>
        <rFont val="Times New Roman"/>
        <family val="1"/>
        <charset val="238"/>
      </rPr>
      <t xml:space="preserve">Przedszkole Publiczne Nr 1 w Łęcznej </t>
    </r>
  </si>
  <si>
    <t xml:space="preserve">Udzielona została pomoc finansowa dla Powiatu Łęczyńskiego z przeznaczeniem dla PCPR w Łęcznej - umowa z Powiatem Łęczyńskim na realizację przez PCPR zadań z zakresu udzielania rodzinom, w których występują problemy narkomanii pomocy prawnej oraz prowadzenie profilaktycznej działalności informacyjno-edukacyjnej w zakresie rozwiązywania problemów narkomanii, w tym na działania związane z udzieleniem pomocy osobom uzależnionym, zagrożonym uzależnieniem oraz ich rodzinom. </t>
  </si>
  <si>
    <t xml:space="preserve">W ramach zadania działa Gminna Komisja Rozwiązywania Problemów Alkoholowych w składzie 7-osobowym, która spotyka się raz w tygodniu (możliwe również posiedzenia nadzwyczajne, szkolenia). Poniesiono  opłaty sądowe związane ze skierowaniem przez GKRPA wniosków o wszczęcie postępowania w sprawie zastosowania obowiązku poddania się leczeniu w zakładzie lecznictwa odwykowego (418,72 zł za łączną opinię wydana przez biegłego psychiatrę i biegłego psychologa). </t>
  </si>
  <si>
    <t>Udzielona została pomoc finansowa dla Powiatu Łęczyńskiego z przeznaczeniem dla PCPR w Łęcznej. Umowa dotyczy realizacji przez PCPR zadań z zakresu profilaktyki i rozwiązywania problemów alkoholowych.</t>
  </si>
  <si>
    <t>Działania skierowane są na udzielenie pomocy rodzinom, w których wystepują problemy alkoholowe, w tym na działania socjoterapeutyczne skierowane do dzieci i młodzieży. W ramach umowy Powiat ma również obowiązek prowadzić działalność informacyjną i edukacyjną w zakresie rozwiązywania problemów alkoholowych, w szczególności na prowadzenie działań skierowanych na ograniczenie skali występowania ryzykownych zachowań wśród dzieci i młodzieży. Działania skierowane są również do dorosłych osób pochodzących z rodzin dotkniętych problemem alkoholizmu oraz na działania związane z udzieleniem pomocy osobom i rodzinom dotkniętym problemem przemocy w rodzinie w związku z występowaniem problemu uzależnienia od alkoholu.</t>
  </si>
  <si>
    <t>Zajęcia sportowe jako strategia alternatywnych form spędzania wolnego czasu realizowane w ramach szkolnych programów profilaktycznych.</t>
  </si>
  <si>
    <t>Nagrody przyznano zgodnie z Zarządzeniem Nr 42/2018 Burmistrza Łęcznej z dnia 16.05.2018 roku w sprawie przyznania nagród pieniężnych dla osób fizycznych za osiągnięcia w dziedzinie twórczości artystycznej, upowszechniania i ochrony kultury (nagrody dla młodzieży) oraz Zarządzeniem Nr 41/2018 Burmistrza Łęcznej z dnia 16.05.2018 roku w sprawie przyznania dorocznej nagrody za osiągnięcia w dziedzinie twórczości artystycznej, upowszechniania i ochrony dóbr kultury - Łęczyński Odyniec Kultury.</t>
  </si>
  <si>
    <r>
      <t xml:space="preserve">1). Wynagrodzenia osobowe nauczycieli - </t>
    </r>
    <r>
      <rPr>
        <i/>
        <sz val="18"/>
        <rFont val="Times New Roman CE"/>
        <charset val="238"/>
      </rPr>
      <t>1 osoba, 0,63 etatu</t>
    </r>
  </si>
  <si>
    <t xml:space="preserve"> świadczenie "za życiem"</t>
  </si>
  <si>
    <t>Wykonanie na 30.06.2018 roku</t>
  </si>
  <si>
    <t>Plan po zmianach na 30.06.2018 rok</t>
  </si>
  <si>
    <t>Środki związane z realizacją ustawy z dnia 10 marca 2006 roku o zwrocie podatku akcyzowego zawartego w cenie oleju napędowego wykorzystywanego do produkcji rolnej, z przeznaczeniem na zwrot części podatku akcyzowego zawartego w cenie oleju napędowego wykorzystywanego do produkcji rolnej przez producentów rolnych oraz na pokrycie kosztów postępowania w sprawie jego zwrotu poniesionych przez gminy, za pierwszy okres płatniczy 2018 roku</t>
  </si>
  <si>
    <t>W ramach realizacji powyższego zadania dokonano zwrotu producentom rolnym części podatku akcyzowego zawartego w cenie oleju napędowego wykorzystywanego do produkcji rolnej na kwotę 144.343,54 zł. Złożono 268 wniosków o zwrot za okres od 1 sierpnia 2017 roku do 31 stycznia 2018 roku. W I półroczu 2018 roku w związku z wykonaniem prac związanych z przyjęciem wniosków o zwrot podatku akcyzowego Urząd poniósł  koszty w wysokości 2.879,37 zł, z czego na wynagrodzenia  przekazano 2.420,00 zł, na składki na ubezpieczenie społeczne 413,81 zł, na składki na fundusz pracy 45,56 zł.</t>
  </si>
  <si>
    <t>W ramach realizacji zadania zakupiono kruszywo drogowe mineralne do doraźnych remontów dróg gminnych w ilości 816,8 Mg . Zakupu dokonano na podstawie zawartej umowy nr GKiOŚ.272.15.2018  od firmy PARKO oraz wykonywano inne roboty remontowe przy wykorzystaniu maszyn -  koparko ładowarka 128 godz., samochodu ciężarowego 124 godz. wykonywano doraźne remonty nawierzchni dróg gminnych  w technologii asfaltu lanego wykorzystano w tym celu 9 Mg mieszanki - wykonawca KPRD Lublin umowa nr GKiOŚ.272.19.2018.</t>
  </si>
  <si>
    <t>W ramach zadania w okresie zimowym zlecano bieżące utrzymanie dróg, ulic, chodników i placów gminnych w zakresie odśnieżania i zwalczania śliskości przez zleceniobiorców wyłonionych w postępowaniu przetargowym. Wyłoniono wykonawcę dla terenów wiejskich firmę Łęcz-Bud oraz dla ulic miejskich firma PARKO . W ramach tych  umów zlecono następujące ilości godzin  na wykonanie prac na terenach miejskich:  pługo-piaskarko-solarka - 105 godz., piaskarko-solarka - 173 godz.,  ciągnik z piaskarko-solarką - 112 godz.,( umowa GKiOŚ.272.4.2018)  i wiejskich: pługo-piaskarko-solarka - 270 godz., piaskarko-solarka - 176,5 godz., samochód ciężarowy z pługiem - 40 godz. ładowarka 45 godz. ( umowa  GKiOŚ.272.7.2018).</t>
  </si>
  <si>
    <t>W ramach realizacji zadania zlecono remont wiaty przystankowej uszkodzonej w wyniku kolizji drogowej w m. Leopoldów - zlecenie GKiOŚ.7021.9.2018;  realizacja  firma RODEX.</t>
  </si>
  <si>
    <t>Zadanie zrealizowano. Zgodnie z umową nr IRG.272.7.2018 wykonano dokumentację projektową. Płatność nastąpi w II półroczu 2018 roku.</t>
  </si>
  <si>
    <t xml:space="preserve">W ramach realizacji zadania zlecono wykonanie oznakowania miejsc parkingowych na terenie miasta dla osób niepełnosprawnych w ilości 40 szt. Wykonawcą byłą firma Łęcz-Bud  - umowa GKiOŚ.272.24.2018. </t>
  </si>
  <si>
    <t>Zadanie w trakcie realizacji .  Zawarto umowę nr IRG.272.8.2018 na realizację systemem "zaprojektuj i wybuduj" z terminem wykonania do 31.08.2018 r. W I półroczu wykonano dokumentację projektową.</t>
  </si>
  <si>
    <r>
      <t>Zadanie w trakcie realizacji.  W I półroczu zgodnie z umową nr IRG.272.9.2018 wykonano drogę manewrową i parkingi o nawierzchni z betonowej kostki brukowej o gr. 8 cm - 3.500 m</t>
    </r>
    <r>
      <rPr>
        <i/>
        <vertAlign val="superscript"/>
        <sz val="18"/>
        <rFont val="Times New Roman"/>
        <family val="1"/>
        <charset val="238"/>
      </rPr>
      <t>2</t>
    </r>
    <r>
      <rPr>
        <i/>
        <sz val="18"/>
        <rFont val="Times New Roman"/>
        <family val="1"/>
        <charset val="238"/>
      </rPr>
      <t xml:space="preserve"> oraz chodniki o nawierzchni z betonowej.</t>
    </r>
  </si>
  <si>
    <t>Wydatki związane z eksploatacją budynków komunalnych</t>
  </si>
  <si>
    <t>W ramach tego zadania wydatkowano środki dotyczące kosztów zarządzanie lokalami i budynkami (komunalnymi, socjalnymi, użytkowymi) oraz dotyczące prac konserwacyjnych na budynkach stanowiących własność gminy Łęczna zgodnie z umową nr PGM.272.1.2018 z dnia 03.01.2018 roku.</t>
  </si>
  <si>
    <t xml:space="preserve">W ramach tego zadania na podstawie zawartej umowy z dnia 15.02.2018 roku -  PGM.272.11.2018  z Zakładem Remontowo Budowlanym Jarosław Ślizak wykonano roboty polegające na uzupełnieniu ubytków w tynku oraz pomalowaniu ścian, drewnianych schodów, wyłazu drewnianego, barierki, stolarki drzwiowej. </t>
  </si>
  <si>
    <t>W ramach tego zadania na podstawie zawartej umowy z dnia 18.05.2018 roku nr PGM.272.25.2018  z firmą Budowlano - Handlową "DACH-BUD" A.Michałowski wykonano roboty polegające na remoncie 13 szt. kominów  oraz na naprawie połaci dachowej na budynku wielorodzinnym przy ul. Pasternik 13.</t>
  </si>
  <si>
    <t xml:space="preserve">W ramach tego zadania na podstawie zawartej umowy z dnia 18.05.2018 roku nr PGM.272.25.2018  z firmą Budowlano - Handlową "DACH-BUD" A.Michałowski wykonano roboty polegające na wymianie rynien (65 mb) i rur spustowych (30 mb). </t>
  </si>
  <si>
    <t>W ramach tego zadania na podstawie zawartej umowy z dnia 27.04.2018 roku nr PGM.272.23.2018  z Zakładem Remontowo Budowlanym Jarosław Ślizak wykonano roboty polegające na uzupełnieniu ubytków w tynku oraz pomalowaniu ścian, barierki, stolarki drzwiowej oraz grzejników radiatorowych.</t>
  </si>
  <si>
    <t xml:space="preserve">Pomoc prawna obejmująca wznowienie postępowania o zasiedzenie działki oznaczonej nr 1826 położonej w m. Łęczna ze skargi Iwony Bancerz na podstawie umowy nr PGM.272.21.2018 z dnia 19.04.2018 roku oraz prowadzenie sprawy z powództwa Iwony Bancerz o zapłatę odszkodowania za przejęte mienie oraz powództwa wzajemnego zgodnie z umową PGM.272.22.2018 z dnia 19.04.2018 roku. </t>
  </si>
  <si>
    <t>W związku z brakiem rozstrzygnięcia przez Urząd Marszałkowski w Lublinie konkursu na rewitalizację, zadanie nie będzie realizowane w 2018 roku.</t>
  </si>
  <si>
    <t>Zadanie będzie realizowane w II półroczu na podstawie wniosków i decyzji o wypłacie odszkodowania.</t>
  </si>
  <si>
    <t>Zadanie w trakcie realizacji.</t>
  </si>
  <si>
    <t>Realizacja zadania nastapi w II półroczu 2018 roku.</t>
  </si>
  <si>
    <t xml:space="preserve">Sołectwo dokonało zmiany zakresu realizacji zadania. Środki przeniesiono na opracowanie dokumentacji oświetlenia drogowego w Łuszczów Kolonii. </t>
  </si>
  <si>
    <t>Zadanie planowane jest do realizacji w II półroczu 2018 roku.</t>
  </si>
  <si>
    <t>W ramach tego zadania na podstawie zawartej umowy z dnia 09.04.2018 roku Nr PGM.272.20.2018 z Przedsiębiorstwem Wielobranżowym "GROTEX" zostały wykonane nowe instalacje gazowe c.o. w lokalach komunalnych nr 9 i 17 położonych w budynku przy ul.Rynek III 34.</t>
  </si>
  <si>
    <t>Zadanie będzie realizowane w II półroczu 2018 roku.</t>
  </si>
  <si>
    <t xml:space="preserve">W ramach realizacji powyższego zadania zrealizowana została umowa nr PGM.272.12.2018 z dnia 15.02.2018 roku z Emilią Niećko oraz umowa  nr PGM.272.17.2018 z dnia 01.03.2018 roku z Pracownią Architektoniczno - Urbanistyczną w imieniu, której działa Anna Warda na posiedzenia gminnej komisji urbanistyczno-architektonicznej opiniowania projektów zmian miejscowych planów zagospodarowania przestrzennego miasta Łęczna oraz terenów wiejskich Gminy Łęczna. </t>
  </si>
  <si>
    <t>W ramach realizacji powyższego zadania została zapłacona opłata za umieszczenie urządzenia w pasie drogowym. Regulowane są na bieżąco opłaty za media (wodę i ścieki, odbiór odpadów komunalnych, odbiór odpadów medycznych, energię elektryczną, ). Zakupiono sól drogową, środki czystości. Wykonano przegląd kominiarski w domu przedpogrzebowym. W ramach realizacji zadania w dniu 24.05.2018 roku została podpisana umowa nr PGM.272.28.2018 z Przedsiębiorstwem "PARKO" Redzik, Grzywa, Moniak Sp. j. na zakup i montaż 30 grobów z komorami grobowymi podwójnymi, 30 grobów z komorami pojedynczymi oraz prace przygotowawcze i wykończeniowe , pomiary i obsługę geodezyjną na kwotę 91.512,00 zł brutto. Termin realizacji umowy wyznaczono do 31 sierpnia 2018 roku.</t>
  </si>
  <si>
    <t>W ramach realizacji tego  zadania ukazały się w Gazecie Wyborczej: ogłoszenia dotyczące wykazów nieruchomości przeznaczonych do dzierżawy, ogłoszenie w sprawie wykazu lokali mieszkalnych położonych w Łęcznej przeznaczonych do sprzedaży oraz ogłoszenia o wyłożeniu do publicznego wglądu projektu zmiany miejscowego planu zagospodarowania przestrzennego miasta Łęczna i gminy Łęczna - etap I dla napowietrznej linii elektroenergetycznej 400kV Chełm - Lublin Systemowa.</t>
  </si>
  <si>
    <t>W ramach realizacji zadania z Biurem Obsługi Rynku Nieruchomości BIS -  Łukaszem Bartoszewiczem zostały zawarte dwie umowy na wykonanie operatów  szacunkowych wyceny nieruchomości położonych na terenie miasta i gminy Łęczna. Umowa nr PGM.272.27.2018 z dnia 24.05.2018 roku na łączną wartość 7.933,50 zł z ustalonym czasem realizacji  do dnia 05.07.2018 roku oraz umowa nr PGM.272.29.2018 z dnia 06.06.2018 roku na łączną wartość 1.230,00 zł z terminem realizacji do dnia 13.07.2018 roku.</t>
  </si>
  <si>
    <t>W ramach realizacji  tego zadania zamówiono wypisy i wyrysy z ewidencji gruntów w Starostwie Powiatowym w Łęcznej. W dniu 05.02.2018 roku podpisano umowę nr PGM.272.10.2018 z Geo-Tom T.Fiutka świadczącym usługi geodezyjne  na wykonanie geodezyjnego podziału działek nr 2609/96, 2636/1, 2637/1, 3077/38, 3110/1 i 3110/13 położonych w mieście Łęczna na kwotę 11.000 zł brutto. W dniu 20.02.2018 roku podpisano umowę nr PGM.272.272.13.2018  z Geo-Tom T.Fiutka świadczącym usługi geodezyjne  na okazanie granic działek będących własnością Gminy Łęczna oznaczonych nr 695 położonej w mieście Łęczna i 4/5 położonej w Podzamczu.</t>
  </si>
  <si>
    <t>Wydatki na zadania zlecone z zakresu administracji rządowej - wydatki na sprawy obywatelskie (wydatki finansowane dotacją z LUW i środkami własnymi)</t>
  </si>
  <si>
    <t>Wydatki na zadania zlecone z zakresu administracji rządowej - wydatki na sprawy pozostałe (wydatki finansowane dotacją z LUW i środkami własnymi)</t>
  </si>
  <si>
    <t>Zadanie do realizacji w II półroczu 2018 roku.</t>
  </si>
  <si>
    <r>
      <t xml:space="preserve">2). Wydatki na remonty - </t>
    </r>
    <r>
      <rPr>
        <i/>
        <sz val="18"/>
        <rFont val="Times New Roman CE"/>
        <charset val="238"/>
      </rPr>
      <t>naprawa zaworu grzejnikowego, gaśnic, koła i klimatyzacji w samochodzie</t>
    </r>
  </si>
  <si>
    <t>Koszty związane z doręczeniem nakazów podatkowych wyniosły 22.656,78 zł, z czego na wynagrodzenia bezosobowe przekazano 19.035,10 zł, na składki na ubezpieczenie społeczne 3.255,00 zł, na składki na fundusz pracy 366,68 zł.</t>
  </si>
  <si>
    <t>wynagrodzenie inkasenta opłaty targowej, zakup bloczków opłat targowych i inne wydatki związane z poborem tej opłaty - realizacja w II półroczu 2018 roku</t>
  </si>
  <si>
    <t>Zadanie planowane do realizacji w II półroczu 2018 roku.</t>
  </si>
  <si>
    <r>
      <t>Wykonanie informatycznej sieci lokalnej w budynku</t>
    </r>
    <r>
      <rPr>
        <b/>
        <i/>
        <sz val="18"/>
        <rFont val="Times New Roman"/>
        <family val="1"/>
        <charset val="238"/>
      </rPr>
      <t xml:space="preserve">Szkoły Podstawowej Nr 2 im. Tadeusza Kościuszki przy ul. Szkolnej 53 w Łęcznej  - </t>
    </r>
    <r>
      <rPr>
        <i/>
        <sz val="18"/>
        <rFont val="Times New Roman"/>
        <family val="1"/>
        <charset val="238"/>
      </rPr>
      <t>zadanie zostanie zrealizowane w II półroczu 2018 roku</t>
    </r>
  </si>
  <si>
    <r>
      <t>8). Meble, stoliki, krzesła, dywany przeznaczone na wyposażenie sal lekcyjnych i pracowni</t>
    </r>
    <r>
      <rPr>
        <i/>
        <sz val="18"/>
        <rFont val="Times New Roman CE"/>
        <charset val="238"/>
      </rPr>
      <t xml:space="preserve"> - szafki i pufa</t>
    </r>
  </si>
  <si>
    <r>
      <t xml:space="preserve">Zakupy inwestycyjne dla </t>
    </r>
    <r>
      <rPr>
        <b/>
        <i/>
        <sz val="18"/>
        <rFont val="Times New Roman"/>
        <family val="1"/>
        <charset val="238"/>
      </rPr>
      <t xml:space="preserve">Przedszkola Publicznego Nr 2 w Łęcznej </t>
    </r>
    <r>
      <rPr>
        <i/>
        <sz val="18"/>
        <rFont val="Times New Roman"/>
        <family val="1"/>
        <charset val="238"/>
      </rPr>
      <t>(winda towarowa) - zadanie do realizacji w II półroczu 2018 roku</t>
    </r>
  </si>
  <si>
    <r>
      <t>6). Wydatki na remonty</t>
    </r>
    <r>
      <rPr>
        <i/>
        <sz val="18"/>
        <rFont val="Times New Roman CE"/>
        <charset val="238"/>
      </rPr>
      <t xml:space="preserve"> - konserwacja wind, węzła cieplnego, gaśnic i materiały remontowe</t>
    </r>
  </si>
  <si>
    <t>Plan wydatków inwestycyjnych wynosi 3.305.370 zł, a zrealizowane wydatki inwestycyjne 226.662,43 zł</t>
  </si>
  <si>
    <t>Kolonie letnie dla dzieci z elementamiprogramu profilaktycznego dla 45 dzieci i młodzieży z terenu Gminy Łęczna, uczestniczacycyh w programach z zakresu profilaktyki alkoholowej, termin realizacji od 25.06.2018 do 06.07.2018 w miejscowości Krościenko na Dunajcem</t>
  </si>
  <si>
    <t>Plan wydatków inwestycyjnych wynosi 31.212.624 zł, a zrealizowane wydatki inwestycyjne 0,00 zł.</t>
  </si>
  <si>
    <t>W ramach realizacji zadania wypłacono łącznie 52 dodatki energetyczne dla odbiorców wrażliwych energii elektrycznej, w tym 17 dla gospodarstw 1- osobowych, 32 dla gospopdarstw składających się z 2-4 osób oraz 3 dla gospodarstw składających się z  conajmniej 5 osób na łączną kwotę 1.567,96 zł. Ponadto zakupiono materiały biurowe za kwotę 24,81 zł. Środki pochodzą z dotacji celowej udzielonej z budżetu państwa na finansowanie dodatków energetycznych, przyznanej decyzją budżetową Wojewody Lubelskiego.</t>
  </si>
  <si>
    <t>1). Wynagrodzenia osobowe pracowników (1 etat, 9 dodatków specjalnych)</t>
  </si>
  <si>
    <t>1). wydatki na zakup materiałów i wyposażenia</t>
  </si>
  <si>
    <t>2). pozostałe wydatki bieżące</t>
  </si>
  <si>
    <t>W ramach realizacji zadania zlecono na podstawie umowy - firmie SIGNUM umowa nr GKiOŚ.272.11.2018 - wielokrotne opróżnianie ulicznych koszy na śmiecie w ilości do 400 szt. jednorazowo; firmie RODEX umowa GKiOŚ.272.221.2018  wykonywanie prac przy utrzymaniu terenów gminnych w ilości 1612 r/godz. pracy przy ręcznym sprzątaniu , 408 r/godz. pracy samochodu ciężarowego do 3,5 t, ciągnik  z przyczepą samowyładowczą 99 r/godz.  oraz zlecano oczyszczanie przykrawężnikowe ulic miejskich firmie Łęcz-Bud - umowa GKiOŚ.272.22.2018. Wykonano łącznie oczyszczenie ulic miejskich na długości 26.526 mb. Ponoszone były również koszty utrzymania toalety automatycznej  (koszt wody , ścieków , energii elektrycznej, przeglądów okresowych i napraw).</t>
  </si>
  <si>
    <t>Utrzymanie terenów zielonych</t>
  </si>
  <si>
    <t xml:space="preserve">W ramach realizacji zadania poniesiono koszty zakupu energii elektrycznej do oświetlenia drogowego na terenie gminy przez sprzedawcę  PGE Obrót S.A. umowa ŁGZEE/GŁ/26/2017 oraz poniesiono koszt konserwacji urządzeń oświetleniowych wykonywanych na zlecenie gminy przez PGE Dystrybucja SA - umowa 01/RE-2/RM/2018  i  ZHUP "ELROX" umowa GKiOŚ.272.2.20178. </t>
  </si>
  <si>
    <t>W ramach realizacji zadania zlecono wykonanie konserwacji i uruchomienia fontanny miejskiej zlecenie GKiOŚ.7021.49.4.2018 przez Łęcz-Bud, zlecono naprawę i programowanie 3 szt. agregatów pompowych VARIONAUT zlecenie GKiOŚ.7021.49.3.2018 , ponoszone były koszty dostawy wody zgodnie z umową GKiOŚ.272.35.2015 z PGKiM Łęczna.</t>
  </si>
  <si>
    <t>W ramach realizacji zadania zlecono wymianę piasku w piaskownicach  zlecenie GKiOŚ.7021.37.2018 przez Łęcz-Bud, ponoszone były koszty dzierżawy terenu pod Skateparkiem na podstawie umowy zawartej z S.M. im. S. Batorego Nr Z/15/2018.</t>
  </si>
  <si>
    <r>
      <t>zadanie z zakresu edukacji ekologicznej "</t>
    </r>
    <r>
      <rPr>
        <b/>
        <i/>
        <sz val="18"/>
        <rFont val="Times New Roman"/>
        <family val="1"/>
        <charset val="238"/>
      </rPr>
      <t>Człowiek, klimat i środowisko naturalne"</t>
    </r>
    <r>
      <rPr>
        <i/>
        <sz val="18"/>
        <rFont val="Times New Roman"/>
        <family val="1"/>
        <charset val="238"/>
      </rPr>
      <t xml:space="preserve"> realizowane przez </t>
    </r>
    <r>
      <rPr>
        <b/>
        <i/>
        <sz val="18"/>
        <rFont val="Times New Roman"/>
        <family val="1"/>
        <charset val="238"/>
      </rPr>
      <t xml:space="preserve">Szkołę Podstawowa Nr 2 w Łęcznej </t>
    </r>
  </si>
  <si>
    <t>Dotacja przekazana zostanie w II półroczu 2018 roku</t>
  </si>
  <si>
    <t>Do dnia sporządzania informacji za I półrocze 2018 roku wnioskodawca nie przedłożył wymaganych uchwałą dokumentów oraz nie wystąpił z wnioskiem o zawarcie umowy.</t>
  </si>
  <si>
    <t>Plan wydatków inwestycyjnych 2.435.364 zł, a zrealizowane wydatki inwestycyjne 712.519,95 zł</t>
  </si>
  <si>
    <r>
      <t>Zadanie w trakcie realizacji. Zgodnie z umową nr IRG.272.1.2018 realizowane są roboty związane z zabezpieczeniem i adaptacją obiektów dawnego folwarku. W I półroczu wykonano zabezpiecenie konstrukcji ruin budynku gospodarczego, obory i częściowo stajni. Rozpoczęto roboty związane z zabezpieczeniem lica murów. Przygotowano podłoże w budynku wieży i wykonano roboty wstępne dla rozpoczęcia montażu schodów. Wykonano dolne warstwy konstrukcyjne alei parkowych - 1.754 m</t>
    </r>
    <r>
      <rPr>
        <i/>
        <vertAlign val="superscript"/>
        <sz val="18"/>
        <rFont val="Times New Roman"/>
        <family val="1"/>
        <charset val="238"/>
      </rPr>
      <t>2</t>
    </r>
    <r>
      <rPr>
        <i/>
        <sz val="18"/>
        <rFont val="Times New Roman"/>
        <family val="1"/>
        <charset val="238"/>
      </rPr>
      <t>. Wykonano linie kablowe dla oświetlenia parkowego - 1.407 m. Rozpoczęto roboty związane z zagospodarowaniem terenów zieleni.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</si>
</sst>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\ _z_ł_-;\-* #,##0.00\ _z_ł_-;_-* &quot;-&quot;??\ _z_ł_-;_-@_-"/>
    <numFmt numFmtId="164" formatCode="_-* #,##0.00&quot; zł&quot;_-;\-* #,##0.00&quot; zł&quot;_-;_-* \-??&quot; zł&quot;_-;_-@_-"/>
    <numFmt numFmtId="165" formatCode="#,###.00"/>
    <numFmt numFmtId="166" formatCode="#,##0.00\ _z_ł"/>
  </numFmts>
  <fonts count="92">
    <font>
      <sz val="10"/>
      <name val="Arial CE"/>
      <family val="2"/>
      <charset val="238"/>
    </font>
    <font>
      <sz val="12"/>
      <name val="Arial CE"/>
      <family val="2"/>
      <charset val="238"/>
    </font>
    <font>
      <sz val="12"/>
      <name val="Arial"/>
      <family val="2"/>
      <charset val="238"/>
    </font>
    <font>
      <sz val="14"/>
      <name val="Arial CE"/>
      <family val="2"/>
      <charset val="238"/>
    </font>
    <font>
      <sz val="12"/>
      <name val="Times New Roman"/>
      <family val="1"/>
      <charset val="238"/>
    </font>
    <font>
      <sz val="14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name val="Times New Roman CE"/>
      <family val="1"/>
      <charset val="238"/>
    </font>
    <font>
      <sz val="9"/>
      <name val="Times New Roman"/>
      <family val="1"/>
      <charset val="238"/>
    </font>
    <font>
      <b/>
      <sz val="12"/>
      <name val="Arial CE"/>
      <family val="2"/>
      <charset val="238"/>
    </font>
    <font>
      <b/>
      <sz val="12"/>
      <name val="Times New Roman"/>
      <family val="1"/>
      <charset val="238"/>
    </font>
    <font>
      <b/>
      <sz val="18"/>
      <color indexed="9"/>
      <name val="Times New Roman"/>
      <family val="1"/>
      <charset val="238"/>
    </font>
    <font>
      <sz val="18"/>
      <color indexed="9"/>
      <name val="Times New Roman"/>
      <family val="1"/>
      <charset val="238"/>
    </font>
    <font>
      <sz val="14"/>
      <color indexed="9"/>
      <name val="Times New Roman"/>
      <family val="1"/>
      <charset val="238"/>
    </font>
    <font>
      <sz val="18"/>
      <name val="Times New Roman"/>
      <family val="1"/>
      <charset val="238"/>
    </font>
    <font>
      <b/>
      <sz val="18"/>
      <name val="Times New Roman"/>
      <family val="1"/>
      <charset val="238"/>
    </font>
    <font>
      <sz val="10"/>
      <name val="Arial CE"/>
      <family val="2"/>
      <charset val="238"/>
    </font>
    <font>
      <sz val="13"/>
      <name val="Times New Roman"/>
      <family val="1"/>
      <charset val="238"/>
    </font>
    <font>
      <b/>
      <sz val="13"/>
      <name val="Times New Roman"/>
      <family val="1"/>
      <charset val="238"/>
    </font>
    <font>
      <i/>
      <sz val="18"/>
      <name val="Times New Roman"/>
      <family val="1"/>
      <charset val="238"/>
    </font>
    <font>
      <i/>
      <sz val="14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i/>
      <sz val="18"/>
      <name val="Times New Roman"/>
      <family val="1"/>
      <charset val="238"/>
    </font>
    <font>
      <sz val="18"/>
      <name val="Times New Roman CE"/>
      <family val="1"/>
      <charset val="238"/>
    </font>
    <font>
      <b/>
      <sz val="18"/>
      <name val="Times New Roman CE"/>
      <charset val="238"/>
    </font>
    <font>
      <sz val="18"/>
      <name val="Times New Roman CE"/>
      <charset val="238"/>
    </font>
    <font>
      <i/>
      <sz val="18"/>
      <name val="Times New Roman CE"/>
      <charset val="238"/>
    </font>
    <font>
      <b/>
      <sz val="14"/>
      <name val="Times New Roman"/>
      <family val="1"/>
      <charset val="238"/>
    </font>
    <font>
      <i/>
      <sz val="13"/>
      <name val="Times New Roman"/>
      <family val="1"/>
      <charset val="238"/>
    </font>
    <font>
      <b/>
      <sz val="18"/>
      <color indexed="10"/>
      <name val="Times New Roman"/>
      <family val="1"/>
      <charset val="238"/>
    </font>
    <font>
      <b/>
      <u/>
      <sz val="18"/>
      <name val="Times New Roman"/>
      <family val="1"/>
      <charset val="238"/>
    </font>
    <font>
      <b/>
      <i/>
      <sz val="13"/>
      <name val="Times New Roman"/>
      <family val="1"/>
      <charset val="238"/>
    </font>
    <font>
      <strike/>
      <sz val="18"/>
      <name val="Times New Roman"/>
      <family val="1"/>
      <charset val="238"/>
    </font>
    <font>
      <sz val="16"/>
      <name val="Times New Roman"/>
      <family val="1"/>
      <charset val="238"/>
    </font>
    <font>
      <i/>
      <sz val="16"/>
      <name val="Times New Roman"/>
      <family val="1"/>
      <charset val="238"/>
    </font>
    <font>
      <sz val="18"/>
      <color indexed="8"/>
      <name val="Times New Roman"/>
      <family val="1"/>
      <charset val="238"/>
    </font>
    <font>
      <b/>
      <sz val="18"/>
      <color indexed="8"/>
      <name val="Times New Roman"/>
      <family val="1"/>
      <charset val="238"/>
    </font>
    <font>
      <i/>
      <sz val="18"/>
      <color indexed="8"/>
      <name val="Times New Roman"/>
      <family val="1"/>
      <charset val="238"/>
    </font>
    <font>
      <b/>
      <sz val="16"/>
      <name val="Times New Roman"/>
      <family val="1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30"/>
      <color rgb="FFFF0000"/>
      <name val="Times New Roman"/>
      <family val="1"/>
      <charset val="238"/>
    </font>
    <font>
      <i/>
      <sz val="30"/>
      <color rgb="FFFF0000"/>
      <name val="Times New Roman"/>
      <family val="1"/>
      <charset val="238"/>
    </font>
    <font>
      <b/>
      <sz val="30"/>
      <color rgb="FFFF0000"/>
      <name val="Times New Roman"/>
      <family val="1"/>
      <charset val="238"/>
    </font>
    <font>
      <b/>
      <i/>
      <sz val="30"/>
      <color rgb="FFFF0000"/>
      <name val="Times New Roman"/>
      <family val="1"/>
      <charset val="238"/>
    </font>
    <font>
      <sz val="30"/>
      <color rgb="FFFF0000"/>
      <name val="Arial CE"/>
      <family val="2"/>
      <charset val="238"/>
    </font>
    <font>
      <sz val="12"/>
      <color rgb="FFFF0000"/>
      <name val="Times New Roman"/>
      <family val="1"/>
      <charset val="238"/>
    </font>
    <font>
      <vertAlign val="superscript"/>
      <sz val="18"/>
      <name val="Times New Roman"/>
      <family val="1"/>
      <charset val="238"/>
    </font>
    <font>
      <sz val="18"/>
      <color theme="6" tint="-0.249977111117893"/>
      <name val="Times New Roman"/>
      <family val="1"/>
      <charset val="238"/>
    </font>
    <font>
      <sz val="30"/>
      <color rgb="FF00B050"/>
      <name val="Times New Roman"/>
      <family val="1"/>
      <charset val="238"/>
    </font>
    <font>
      <sz val="30"/>
      <name val="Times New Roman"/>
      <family val="1"/>
      <charset val="238"/>
    </font>
    <font>
      <i/>
      <sz val="30"/>
      <color rgb="FF00B050"/>
      <name val="Times New Roman"/>
      <family val="1"/>
      <charset val="238"/>
    </font>
    <font>
      <i/>
      <sz val="30"/>
      <name val="Times New Roman"/>
      <family val="1"/>
      <charset val="238"/>
    </font>
    <font>
      <i/>
      <sz val="28"/>
      <color rgb="FFFF0000"/>
      <name val="Times New Roman"/>
      <family val="1"/>
      <charset val="238"/>
    </font>
    <font>
      <sz val="20"/>
      <color rgb="FFFF0000"/>
      <name val="Times New Roman"/>
      <family val="1"/>
      <charset val="238"/>
    </font>
    <font>
      <i/>
      <sz val="20"/>
      <color rgb="FFFF0000"/>
      <name val="Times New Roman"/>
      <family val="1"/>
      <charset val="238"/>
    </font>
    <font>
      <b/>
      <sz val="20"/>
      <color rgb="FFFF0000"/>
      <name val="Times New Roman"/>
      <family val="1"/>
      <charset val="238"/>
    </font>
    <font>
      <b/>
      <i/>
      <sz val="20"/>
      <color rgb="FFFF0000"/>
      <name val="Times New Roman"/>
      <family val="1"/>
      <charset val="238"/>
    </font>
    <font>
      <b/>
      <i/>
      <sz val="30"/>
      <color rgb="FF00B050"/>
      <name val="Times New Roman"/>
      <family val="1"/>
      <charset val="238"/>
    </font>
    <font>
      <sz val="15"/>
      <color rgb="FFFF0000"/>
      <name val="Times New Roman"/>
      <family val="1"/>
      <charset val="238"/>
    </font>
    <font>
      <b/>
      <sz val="18"/>
      <name val="Times New Roman CE"/>
      <family val="1"/>
      <charset val="238"/>
    </font>
    <font>
      <b/>
      <u/>
      <sz val="18"/>
      <name val="Times New Roman CE"/>
      <family val="1"/>
      <charset val="238"/>
    </font>
    <font>
      <sz val="18"/>
      <color rgb="FFFF0000"/>
      <name val="Times New Roman CE"/>
      <family val="1"/>
      <charset val="238"/>
    </font>
    <font>
      <sz val="30"/>
      <name val="Times New Roman CE"/>
      <family val="1"/>
      <charset val="238"/>
    </font>
    <font>
      <i/>
      <sz val="18"/>
      <color rgb="FFFF0000"/>
      <name val="Times New Roman CE"/>
      <charset val="238"/>
    </font>
    <font>
      <i/>
      <sz val="30"/>
      <name val="Times New Roman CE"/>
      <charset val="238"/>
    </font>
    <font>
      <sz val="10"/>
      <name val="Arial CE"/>
      <charset val="238"/>
    </font>
    <font>
      <i/>
      <sz val="16"/>
      <name val="Times New Roman CE"/>
      <family val="1"/>
      <charset val="238"/>
    </font>
    <font>
      <sz val="16"/>
      <name val="Times New Roman CE"/>
      <charset val="238"/>
    </font>
    <font>
      <sz val="30"/>
      <color rgb="FFC00000"/>
      <name val="Times New Roman"/>
      <family val="1"/>
      <charset val="238"/>
    </font>
    <font>
      <b/>
      <sz val="30"/>
      <color rgb="FF00B050"/>
      <name val="Times New Roman"/>
      <family val="1"/>
      <charset val="238"/>
    </font>
    <font>
      <i/>
      <sz val="30"/>
      <color rgb="FFC00000"/>
      <name val="Times New Roman"/>
      <family val="1"/>
      <charset val="238"/>
    </font>
    <font>
      <sz val="18"/>
      <name val="Arial CE"/>
      <family val="2"/>
      <charset val="238"/>
    </font>
    <font>
      <i/>
      <sz val="18"/>
      <name val="Times New Roman CE"/>
      <family val="1"/>
      <charset val="238"/>
    </font>
    <font>
      <i/>
      <sz val="18"/>
      <color rgb="FFFF0000"/>
      <name val="Times New Roman"/>
      <family val="1"/>
      <charset val="238"/>
    </font>
    <font>
      <sz val="18"/>
      <color rgb="FF92D050"/>
      <name val="Times New Roman"/>
      <family val="1"/>
      <charset val="238"/>
    </font>
    <font>
      <i/>
      <vertAlign val="superscript"/>
      <sz val="18"/>
      <name val="Times New Roman"/>
      <family val="1"/>
      <charset val="238"/>
    </font>
  </fonts>
  <fills count="31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rgb="FFFFFF00"/>
        <bgColor indexed="64"/>
      </patternFill>
    </fill>
    <fill>
      <patternFill patternType="solid">
        <fgColor indexed="63"/>
        <bgColor indexed="59"/>
      </patternFill>
    </fill>
    <fill>
      <patternFill patternType="solid">
        <fgColor indexed="27"/>
        <bgColor indexed="41"/>
      </patternFill>
    </fill>
    <fill>
      <patternFill patternType="solid">
        <fgColor indexed="9"/>
        <bgColor indexed="26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83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/>
      <top style="dotted">
        <color indexed="8"/>
      </top>
      <bottom style="dotted">
        <color indexed="8"/>
      </bottom>
      <diagonal/>
    </border>
    <border>
      <left/>
      <right/>
      <top style="dotted">
        <color indexed="8"/>
      </top>
      <bottom style="dotted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/>
      <top style="dotted">
        <color indexed="8"/>
      </top>
      <bottom style="thin">
        <color indexed="8"/>
      </bottom>
      <diagonal/>
    </border>
    <border>
      <left/>
      <right/>
      <top style="dotted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/>
      <diagonal/>
    </border>
    <border>
      <left style="thin">
        <color indexed="8"/>
      </left>
      <right/>
      <top style="dotted">
        <color indexed="8"/>
      </top>
      <bottom/>
      <diagonal/>
    </border>
    <border>
      <left/>
      <right/>
      <top style="dotted">
        <color indexed="8"/>
      </top>
      <bottom/>
      <diagonal/>
    </border>
    <border>
      <left/>
      <right style="thin">
        <color indexed="8"/>
      </right>
      <top/>
      <bottom style="dotted">
        <color indexed="8"/>
      </bottom>
      <diagonal/>
    </border>
    <border>
      <left/>
      <right/>
      <top/>
      <bottom style="dotted">
        <color indexed="8"/>
      </bottom>
      <diagonal/>
    </border>
    <border>
      <left style="thin">
        <color indexed="8"/>
      </left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/>
      <top/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thin">
        <color indexed="8"/>
      </right>
      <top style="dotted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 style="dotted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 style="thin">
        <color indexed="8"/>
      </left>
      <right/>
      <top style="dotted">
        <color indexed="8"/>
      </top>
      <bottom/>
      <diagonal/>
    </border>
    <border>
      <left/>
      <right/>
      <top style="dotted">
        <color indexed="8"/>
      </top>
      <bottom/>
      <diagonal/>
    </border>
    <border>
      <left style="thin">
        <color indexed="8"/>
      </left>
      <right style="thin">
        <color indexed="8"/>
      </right>
      <top style="dotted">
        <color indexed="8"/>
      </top>
      <bottom/>
      <diagonal/>
    </border>
    <border>
      <left style="thin">
        <color indexed="8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/>
      <top style="dotted">
        <color indexed="8"/>
      </top>
      <bottom style="dotted">
        <color indexed="8"/>
      </bottom>
      <diagonal/>
    </border>
    <border>
      <left/>
      <right/>
      <top style="dotted">
        <color indexed="8"/>
      </top>
      <bottom style="dotted">
        <color indexed="8"/>
      </bottom>
      <diagonal/>
    </border>
    <border>
      <left/>
      <right style="thin">
        <color indexed="8"/>
      </right>
      <top style="dotted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 style="dotted">
        <color indexed="8"/>
      </bottom>
      <diagonal/>
    </border>
    <border>
      <left style="thin">
        <color indexed="64"/>
      </left>
      <right style="thin">
        <color indexed="64"/>
      </right>
      <top/>
      <bottom style="dotted">
        <color indexed="8"/>
      </bottom>
      <diagonal/>
    </border>
    <border>
      <left/>
      <right style="thin">
        <color auto="1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</borders>
  <cellStyleXfs count="53">
    <xf numFmtId="0" fontId="0" fillId="0" borderId="0"/>
    <xf numFmtId="164" fontId="16" fillId="0" borderId="0" applyFill="0" applyBorder="0" applyAlignment="0" applyProtection="0"/>
    <xf numFmtId="0" fontId="1" fillId="0" borderId="0"/>
    <xf numFmtId="0" fontId="7" fillId="0" borderId="3">
      <alignment vertical="center" wrapText="1"/>
    </xf>
    <xf numFmtId="0" fontId="9" fillId="2" borderId="4">
      <alignment vertical="center" wrapText="1"/>
    </xf>
    <xf numFmtId="0" fontId="1" fillId="0" borderId="0"/>
    <xf numFmtId="0" fontId="9" fillId="2" borderId="4">
      <alignment vertical="center" wrapText="1"/>
    </xf>
    <xf numFmtId="0" fontId="1" fillId="0" borderId="0"/>
    <xf numFmtId="0" fontId="39" fillId="7" borderId="0" applyNumberFormat="0" applyBorder="0" applyAlignment="0" applyProtection="0"/>
    <xf numFmtId="0" fontId="39" fillId="8" borderId="0" applyNumberFormat="0" applyBorder="0" applyAlignment="0" applyProtection="0"/>
    <xf numFmtId="0" fontId="39" fillId="9" borderId="0" applyNumberFormat="0" applyBorder="0" applyAlignment="0" applyProtection="0"/>
    <xf numFmtId="0" fontId="39" fillId="10" borderId="0" applyNumberFormat="0" applyBorder="0" applyAlignment="0" applyProtection="0"/>
    <xf numFmtId="0" fontId="39" fillId="5" borderId="0" applyNumberFormat="0" applyBorder="0" applyAlignment="0" applyProtection="0"/>
    <xf numFmtId="0" fontId="39" fillId="11" borderId="0" applyNumberFormat="0" applyBorder="0" applyAlignment="0" applyProtection="0"/>
    <xf numFmtId="0" fontId="39" fillId="12" borderId="0" applyNumberFormat="0" applyBorder="0" applyAlignment="0" applyProtection="0"/>
    <xf numFmtId="0" fontId="39" fillId="13" borderId="0" applyNumberFormat="0" applyBorder="0" applyAlignment="0" applyProtection="0"/>
    <xf numFmtId="0" fontId="39" fillId="14" borderId="0" applyNumberFormat="0" applyBorder="0" applyAlignment="0" applyProtection="0"/>
    <xf numFmtId="0" fontId="39" fillId="10" borderId="0" applyNumberFormat="0" applyBorder="0" applyAlignment="0" applyProtection="0"/>
    <xf numFmtId="0" fontId="39" fillId="12" borderId="0" applyNumberFormat="0" applyBorder="0" applyAlignment="0" applyProtection="0"/>
    <xf numFmtId="0" fontId="39" fillId="15" borderId="0" applyNumberFormat="0" applyBorder="0" applyAlignment="0" applyProtection="0"/>
    <xf numFmtId="0" fontId="40" fillId="16" borderId="0" applyNumberFormat="0" applyBorder="0" applyAlignment="0" applyProtection="0"/>
    <xf numFmtId="0" fontId="40" fillId="13" borderId="0" applyNumberFormat="0" applyBorder="0" applyAlignment="0" applyProtection="0"/>
    <xf numFmtId="0" fontId="40" fillId="14" borderId="0" applyNumberFormat="0" applyBorder="0" applyAlignment="0" applyProtection="0"/>
    <xf numFmtId="0" fontId="40" fillId="17" borderId="0" applyNumberFormat="0" applyBorder="0" applyAlignment="0" applyProtection="0"/>
    <xf numFmtId="0" fontId="40" fillId="18" borderId="0" applyNumberFormat="0" applyBorder="0" applyAlignment="0" applyProtection="0"/>
    <xf numFmtId="0" fontId="40" fillId="19" borderId="0" applyNumberFormat="0" applyBorder="0" applyAlignment="0" applyProtection="0"/>
    <xf numFmtId="0" fontId="40" fillId="20" borderId="0" applyNumberFormat="0" applyBorder="0" applyAlignment="0" applyProtection="0"/>
    <xf numFmtId="0" fontId="40" fillId="21" borderId="0" applyNumberFormat="0" applyBorder="0" applyAlignment="0" applyProtection="0"/>
    <xf numFmtId="0" fontId="40" fillId="22" borderId="0" applyNumberFormat="0" applyBorder="0" applyAlignment="0" applyProtection="0"/>
    <xf numFmtId="0" fontId="40" fillId="17" borderId="0" applyNumberFormat="0" applyBorder="0" applyAlignment="0" applyProtection="0"/>
    <xf numFmtId="0" fontId="40" fillId="18" borderId="0" applyNumberFormat="0" applyBorder="0" applyAlignment="0" applyProtection="0"/>
    <xf numFmtId="0" fontId="40" fillId="23" borderId="0" applyNumberFormat="0" applyBorder="0" applyAlignment="0" applyProtection="0"/>
    <xf numFmtId="0" fontId="41" fillId="11" borderId="44" applyNumberFormat="0" applyAlignment="0" applyProtection="0"/>
    <xf numFmtId="0" fontId="42" fillId="2" borderId="45" applyNumberFormat="0" applyAlignment="0" applyProtection="0"/>
    <xf numFmtId="0" fontId="43" fillId="9" borderId="0" applyNumberFormat="0" applyBorder="0" applyAlignment="0" applyProtection="0"/>
    <xf numFmtId="0" fontId="44" fillId="0" borderId="46" applyNumberFormat="0" applyFill="0" applyAlignment="0" applyProtection="0"/>
    <xf numFmtId="0" fontId="45" fillId="24" borderId="47" applyNumberFormat="0" applyAlignment="0" applyProtection="0"/>
    <xf numFmtId="0" fontId="46" fillId="0" borderId="48" applyNumberFormat="0" applyFill="0" applyAlignment="0" applyProtection="0"/>
    <xf numFmtId="0" fontId="47" fillId="0" borderId="49" applyNumberFormat="0" applyFill="0" applyAlignment="0" applyProtection="0"/>
    <xf numFmtId="0" fontId="48" fillId="0" borderId="50" applyNumberFormat="0" applyFill="0" applyAlignment="0" applyProtection="0"/>
    <xf numFmtId="0" fontId="48" fillId="0" borderId="0" applyNumberFormat="0" applyFill="0" applyBorder="0" applyAlignment="0" applyProtection="0"/>
    <xf numFmtId="0" fontId="49" fillId="25" borderId="0" applyNumberFormat="0" applyBorder="0" applyAlignment="0" applyProtection="0"/>
    <xf numFmtId="0" fontId="50" fillId="2" borderId="44" applyNumberFormat="0" applyAlignment="0" applyProtection="0"/>
    <xf numFmtId="0" fontId="51" fillId="0" borderId="51" applyNumberFormat="0" applyFill="0" applyAlignment="0" applyProtection="0"/>
    <xf numFmtId="0" fontId="52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16" fillId="26" borderId="52" applyNumberFormat="0" applyAlignment="0" applyProtection="0"/>
    <xf numFmtId="0" fontId="55" fillId="8" borderId="0" applyNumberFormat="0" applyBorder="0" applyAlignment="0" applyProtection="0"/>
    <xf numFmtId="43" fontId="16" fillId="0" borderId="0" applyFont="0" applyFill="0" applyBorder="0" applyAlignment="0" applyProtection="0"/>
    <xf numFmtId="43" fontId="81" fillId="0" borderId="0" applyFont="0" applyFill="0" applyBorder="0" applyAlignment="0" applyProtection="0"/>
    <xf numFmtId="0" fontId="7" fillId="0" borderId="63">
      <alignment vertical="center" wrapText="1"/>
    </xf>
    <xf numFmtId="0" fontId="9" fillId="28" borderId="4">
      <alignment vertical="center" wrapText="1"/>
    </xf>
  </cellStyleXfs>
  <cellXfs count="1345">
    <xf numFmtId="0" fontId="0" fillId="0" borderId="0" xfId="0"/>
    <xf numFmtId="0" fontId="1" fillId="0" borderId="0" xfId="2"/>
    <xf numFmtId="4" fontId="1" fillId="0" borderId="1" xfId="2" applyNumberFormat="1" applyFont="1" applyBorder="1" applyAlignment="1" applyProtection="1">
      <alignment horizontal="right" vertical="center"/>
    </xf>
    <xf numFmtId="4" fontId="2" fillId="0" borderId="1" xfId="2" applyNumberFormat="1" applyFont="1" applyBorder="1" applyAlignment="1" applyProtection="1">
      <alignment horizontal="right" wrapText="1"/>
    </xf>
    <xf numFmtId="4" fontId="2" fillId="0" borderId="2" xfId="2" applyNumberFormat="1" applyFont="1" applyBorder="1" applyAlignment="1" applyProtection="1">
      <alignment horizontal="right" wrapText="1"/>
    </xf>
    <xf numFmtId="0" fontId="2" fillId="0" borderId="0" xfId="2" applyFont="1" applyBorder="1" applyAlignment="1" applyProtection="1">
      <alignment horizontal="left" wrapText="1"/>
    </xf>
    <xf numFmtId="0" fontId="1" fillId="0" borderId="0" xfId="2" applyFont="1" applyBorder="1" applyAlignment="1" applyProtection="1">
      <alignment horizontal="center" vertical="center"/>
    </xf>
    <xf numFmtId="1" fontId="3" fillId="0" borderId="2" xfId="2" applyNumberFormat="1" applyFont="1" applyBorder="1" applyAlignment="1" applyProtection="1">
      <alignment horizontal="center" vertical="center"/>
    </xf>
    <xf numFmtId="1" fontId="1" fillId="0" borderId="2" xfId="2" applyNumberFormat="1" applyFont="1" applyBorder="1" applyAlignment="1" applyProtection="1">
      <alignment horizontal="center" vertical="center"/>
    </xf>
    <xf numFmtId="4" fontId="2" fillId="0" borderId="0" xfId="2" applyNumberFormat="1" applyFont="1" applyBorder="1" applyAlignment="1" applyProtection="1">
      <alignment horizontal="right" wrapText="1"/>
    </xf>
    <xf numFmtId="0" fontId="4" fillId="0" borderId="0" xfId="2" applyFont="1"/>
    <xf numFmtId="4" fontId="4" fillId="0" borderId="1" xfId="2" applyNumberFormat="1" applyFont="1" applyBorder="1" applyAlignment="1" applyProtection="1">
      <alignment horizontal="right" vertical="center"/>
    </xf>
    <xf numFmtId="4" fontId="4" fillId="0" borderId="1" xfId="2" applyNumberFormat="1" applyFont="1" applyBorder="1" applyAlignment="1" applyProtection="1">
      <alignment horizontal="right" wrapText="1"/>
    </xf>
    <xf numFmtId="4" fontId="4" fillId="0" borderId="0" xfId="2" applyNumberFormat="1" applyFont="1" applyBorder="1" applyAlignment="1" applyProtection="1">
      <alignment horizontal="right" wrapText="1"/>
    </xf>
    <xf numFmtId="0" fontId="4" fillId="0" borderId="0" xfId="2" applyFont="1" applyBorder="1" applyAlignment="1" applyProtection="1">
      <alignment horizontal="center" vertical="center"/>
    </xf>
    <xf numFmtId="1" fontId="5" fillId="0" borderId="2" xfId="2" applyNumberFormat="1" applyFont="1" applyBorder="1" applyAlignment="1" applyProtection="1">
      <alignment horizontal="center" vertical="center"/>
    </xf>
    <xf numFmtId="1" fontId="4" fillId="0" borderId="2" xfId="2" applyNumberFormat="1" applyFont="1" applyBorder="1" applyAlignment="1" applyProtection="1">
      <alignment horizontal="center" vertical="center"/>
    </xf>
    <xf numFmtId="0" fontId="4" fillId="0" borderId="0" xfId="2" applyFont="1" applyBorder="1" applyAlignment="1" applyProtection="1">
      <alignment horizontal="left" wrapText="1"/>
    </xf>
    <xf numFmtId="4" fontId="4" fillId="0" borderId="0" xfId="2" applyNumberFormat="1" applyFont="1"/>
    <xf numFmtId="4" fontId="4" fillId="0" borderId="0" xfId="2" applyNumberFormat="1" applyFont="1" applyBorder="1" applyAlignment="1" applyProtection="1">
      <alignment horizontal="left" wrapText="1"/>
    </xf>
    <xf numFmtId="4" fontId="4" fillId="0" borderId="0" xfId="2" applyNumberFormat="1" applyFont="1" applyBorder="1" applyAlignment="1" applyProtection="1">
      <alignment horizontal="center" vertical="center"/>
    </xf>
    <xf numFmtId="4" fontId="4" fillId="0" borderId="0" xfId="2" applyNumberFormat="1" applyFont="1" applyBorder="1"/>
    <xf numFmtId="4" fontId="4" fillId="0" borderId="0" xfId="2" applyNumberFormat="1" applyFont="1" applyBorder="1" applyAlignment="1" applyProtection="1">
      <alignment horizontal="right" vertical="center"/>
    </xf>
    <xf numFmtId="1" fontId="5" fillId="0" borderId="0" xfId="2" applyNumberFormat="1" applyFont="1" applyBorder="1" applyAlignment="1" applyProtection="1">
      <alignment horizontal="center" vertical="center"/>
    </xf>
    <xf numFmtId="1" fontId="4" fillId="0" borderId="0" xfId="2" applyNumberFormat="1" applyFont="1" applyBorder="1" applyAlignment="1" applyProtection="1">
      <alignment horizontal="center" vertical="center"/>
    </xf>
    <xf numFmtId="4" fontId="6" fillId="0" borderId="0" xfId="2" applyNumberFormat="1" applyFont="1" applyBorder="1" applyAlignment="1">
      <alignment vertical="center"/>
    </xf>
    <xf numFmtId="4" fontId="4" fillId="0" borderId="0" xfId="3" applyNumberFormat="1" applyFont="1" applyBorder="1" applyAlignment="1">
      <alignment horizontal="right" vertical="center" wrapText="1"/>
    </xf>
    <xf numFmtId="4" fontId="8" fillId="0" borderId="0" xfId="3" applyNumberFormat="1" applyFont="1" applyBorder="1" applyAlignment="1">
      <alignment horizontal="center" vertical="center" wrapText="1"/>
    </xf>
    <xf numFmtId="1" fontId="5" fillId="0" borderId="0" xfId="3" applyNumberFormat="1" applyFont="1" applyBorder="1" applyAlignment="1">
      <alignment horizontal="center" vertical="center" wrapText="1"/>
    </xf>
    <xf numFmtId="4" fontId="4" fillId="0" borderId="0" xfId="3" applyNumberFormat="1" applyFont="1" applyBorder="1" applyAlignment="1">
      <alignment horizontal="left" vertical="center" wrapText="1"/>
    </xf>
    <xf numFmtId="1" fontId="4" fillId="0" borderId="0" xfId="5" applyNumberFormat="1" applyFont="1" applyBorder="1" applyAlignment="1" applyProtection="1">
      <alignment horizontal="center" vertical="center" wrapText="1"/>
    </xf>
    <xf numFmtId="4" fontId="4" fillId="0" borderId="0" xfId="5" applyNumberFormat="1" applyFont="1" applyFill="1" applyBorder="1" applyAlignment="1">
      <alignment vertical="center"/>
    </xf>
    <xf numFmtId="4" fontId="11" fillId="4" borderId="6" xfId="5" applyNumberFormat="1" applyFont="1" applyFill="1" applyBorder="1" applyAlignment="1" applyProtection="1">
      <alignment horizontal="center" vertical="center"/>
    </xf>
    <xf numFmtId="4" fontId="12" fillId="4" borderId="6" xfId="5" applyNumberFormat="1" applyFont="1" applyFill="1" applyBorder="1" applyAlignment="1" applyProtection="1">
      <alignment horizontal="center" vertical="center"/>
    </xf>
    <xf numFmtId="1" fontId="13" fillId="4" borderId="6" xfId="5" applyNumberFormat="1" applyFont="1" applyFill="1" applyBorder="1" applyAlignment="1" applyProtection="1">
      <alignment horizontal="center" vertical="center"/>
    </xf>
    <xf numFmtId="1" fontId="14" fillId="0" borderId="7" xfId="5" applyNumberFormat="1" applyFont="1" applyBorder="1" applyAlignment="1" applyProtection="1">
      <alignment horizontal="center" vertical="center" wrapText="1"/>
    </xf>
    <xf numFmtId="4" fontId="14" fillId="0" borderId="8" xfId="5" applyNumberFormat="1" applyFont="1" applyBorder="1" applyAlignment="1" applyProtection="1">
      <alignment horizontal="center" vertical="center"/>
    </xf>
    <xf numFmtId="4" fontId="4" fillId="0" borderId="0" xfId="5" applyNumberFormat="1" applyFont="1" applyFill="1" applyAlignment="1">
      <alignment vertical="center"/>
    </xf>
    <xf numFmtId="4" fontId="14" fillId="0" borderId="0" xfId="5" applyNumberFormat="1" applyFont="1" applyFill="1" applyBorder="1" applyAlignment="1" applyProtection="1">
      <alignment horizontal="left" vertical="center" wrapText="1"/>
    </xf>
    <xf numFmtId="4" fontId="14" fillId="0" borderId="0" xfId="5" applyNumberFormat="1" applyFont="1" applyFill="1" applyBorder="1" applyAlignment="1" applyProtection="1">
      <alignment horizontal="center" vertical="center"/>
    </xf>
    <xf numFmtId="1" fontId="14" fillId="0" borderId="1" xfId="5" applyNumberFormat="1" applyFont="1" applyFill="1" applyBorder="1" applyAlignment="1" applyProtection="1">
      <alignment horizontal="center" vertical="center" wrapText="1"/>
    </xf>
    <xf numFmtId="4" fontId="14" fillId="0" borderId="9" xfId="5" applyNumberFormat="1" applyFont="1" applyFill="1" applyBorder="1" applyAlignment="1" applyProtection="1">
      <alignment horizontal="right" vertical="center"/>
    </xf>
    <xf numFmtId="4" fontId="15" fillId="0" borderId="9" xfId="5" applyNumberFormat="1" applyFont="1" applyFill="1" applyBorder="1" applyAlignment="1" applyProtection="1">
      <alignment horizontal="right" vertical="center"/>
    </xf>
    <xf numFmtId="4" fontId="14" fillId="0" borderId="9" xfId="5" applyNumberFormat="1" applyFont="1" applyFill="1" applyBorder="1" applyAlignment="1" applyProtection="1">
      <alignment horizontal="right" vertical="center" wrapText="1"/>
    </xf>
    <xf numFmtId="4" fontId="14" fillId="0" borderId="11" xfId="5" applyNumberFormat="1" applyFont="1" applyFill="1" applyBorder="1" applyAlignment="1" applyProtection="1">
      <alignment horizontal="left" vertical="center" wrapText="1"/>
    </xf>
    <xf numFmtId="4" fontId="14" fillId="0" borderId="11" xfId="5" applyNumberFormat="1" applyFont="1" applyFill="1" applyBorder="1" applyAlignment="1" applyProtection="1">
      <alignment horizontal="center" vertical="center"/>
    </xf>
    <xf numFmtId="1" fontId="5" fillId="0" borderId="11" xfId="5" applyNumberFormat="1" applyFont="1" applyFill="1" applyBorder="1" applyAlignment="1" applyProtection="1">
      <alignment horizontal="center" vertical="center"/>
    </xf>
    <xf numFmtId="4" fontId="4" fillId="0" borderId="0" xfId="5" applyNumberFormat="1" applyFont="1" applyAlignment="1">
      <alignment vertical="center"/>
    </xf>
    <xf numFmtId="4" fontId="15" fillId="2" borderId="12" xfId="5" applyNumberFormat="1" applyFont="1" applyFill="1" applyBorder="1" applyAlignment="1" applyProtection="1">
      <alignment horizontal="center" vertical="center"/>
    </xf>
    <xf numFmtId="4" fontId="14" fillId="2" borderId="12" xfId="5" applyNumberFormat="1" applyFont="1" applyFill="1" applyBorder="1" applyAlignment="1" applyProtection="1">
      <alignment horizontal="center" vertical="center"/>
    </xf>
    <xf numFmtId="1" fontId="5" fillId="2" borderId="12" xfId="5" applyNumberFormat="1" applyFont="1" applyFill="1" applyBorder="1" applyAlignment="1" applyProtection="1">
      <alignment horizontal="center" vertical="center"/>
    </xf>
    <xf numFmtId="1" fontId="15" fillId="2" borderId="13" xfId="5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9" xfId="6" applyFont="1" applyFill="1" applyBorder="1" applyAlignment="1">
      <alignment vertical="center" wrapText="1"/>
    </xf>
    <xf numFmtId="0" fontId="4" fillId="0" borderId="11" xfId="6" applyFont="1" applyFill="1" applyBorder="1" applyAlignment="1">
      <alignment horizontal="left" vertical="center" wrapText="1"/>
    </xf>
    <xf numFmtId="0" fontId="4" fillId="0" borderId="11" xfId="6" applyFont="1" applyFill="1" applyBorder="1" applyAlignment="1">
      <alignment horizontal="center" vertical="center" wrapText="1"/>
    </xf>
    <xf numFmtId="0" fontId="4" fillId="0" borderId="9" xfId="6" applyFont="1" applyFill="1" applyBorder="1" applyAlignment="1">
      <alignment horizontal="center" vertical="center" wrapText="1"/>
    </xf>
    <xf numFmtId="0" fontId="4" fillId="0" borderId="1" xfId="2" applyFont="1" applyFill="1" applyBorder="1" applyAlignment="1" applyProtection="1">
      <alignment horizontal="center" vertical="center"/>
    </xf>
    <xf numFmtId="3" fontId="4" fillId="0" borderId="9" xfId="6" applyNumberFormat="1" applyFont="1" applyFill="1" applyBorder="1" applyAlignment="1">
      <alignment horizontal="right" vertical="center" wrapText="1"/>
    </xf>
    <xf numFmtId="4" fontId="14" fillId="0" borderId="1" xfId="6" applyNumberFormat="1" applyFont="1" applyFill="1" applyBorder="1" applyAlignment="1">
      <alignment horizontal="right" vertical="center" wrapText="1"/>
    </xf>
    <xf numFmtId="1" fontId="5" fillId="0" borderId="0" xfId="6" applyNumberFormat="1" applyFont="1" applyFill="1" applyBorder="1" applyAlignment="1">
      <alignment horizontal="center" vertical="center" wrapText="1"/>
    </xf>
    <xf numFmtId="1" fontId="14" fillId="0" borderId="1" xfId="6" applyNumberFormat="1" applyFont="1" applyFill="1" applyBorder="1" applyAlignment="1">
      <alignment horizontal="center" vertical="center" wrapText="1"/>
    </xf>
    <xf numFmtId="1" fontId="14" fillId="0" borderId="9" xfId="6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vertical="center"/>
    </xf>
    <xf numFmtId="0" fontId="17" fillId="0" borderId="0" xfId="2" applyFont="1" applyAlignment="1">
      <alignment vertical="center"/>
    </xf>
    <xf numFmtId="0" fontId="18" fillId="5" borderId="13" xfId="6" applyFont="1" applyFill="1" applyBorder="1" applyAlignment="1">
      <alignment vertical="center" wrapText="1"/>
    </xf>
    <xf numFmtId="0" fontId="18" fillId="5" borderId="4" xfId="6" applyFont="1" applyFill="1" applyAlignment="1">
      <alignment horizontal="left" vertical="center" wrapText="1"/>
    </xf>
    <xf numFmtId="0" fontId="18" fillId="5" borderId="4" xfId="6" applyFont="1" applyFill="1" applyAlignment="1">
      <alignment horizontal="center" vertical="center" wrapText="1"/>
    </xf>
    <xf numFmtId="0" fontId="18" fillId="5" borderId="4" xfId="6" applyFont="1" applyFill="1" applyBorder="1" applyAlignment="1">
      <alignment horizontal="center" vertical="center" wrapText="1"/>
    </xf>
    <xf numFmtId="0" fontId="18" fillId="5" borderId="13" xfId="6" applyFont="1" applyFill="1" applyBorder="1" applyAlignment="1">
      <alignment horizontal="center" vertical="center" wrapText="1"/>
    </xf>
    <xf numFmtId="0" fontId="17" fillId="0" borderId="1" xfId="2" applyFont="1" applyBorder="1" applyAlignment="1" applyProtection="1">
      <alignment horizontal="center" vertical="center"/>
    </xf>
    <xf numFmtId="3" fontId="18" fillId="5" borderId="13" xfId="6" applyNumberFormat="1" applyFont="1" applyFill="1" applyBorder="1" applyAlignment="1">
      <alignment horizontal="right" vertical="center" wrapText="1"/>
    </xf>
    <xf numFmtId="0" fontId="15" fillId="5" borderId="4" xfId="6" applyFont="1" applyFill="1" applyBorder="1" applyAlignment="1">
      <alignment horizontal="left" vertical="center" wrapText="1"/>
    </xf>
    <xf numFmtId="0" fontId="14" fillId="5" borderId="4" xfId="6" applyFont="1" applyFill="1" applyBorder="1" applyAlignment="1">
      <alignment horizontal="center" vertical="center" wrapText="1"/>
    </xf>
    <xf numFmtId="1" fontId="5" fillId="5" borderId="4" xfId="6" applyNumberFormat="1" applyFont="1" applyFill="1" applyBorder="1" applyAlignment="1">
      <alignment horizontal="center" vertical="center" wrapText="1"/>
    </xf>
    <xf numFmtId="1" fontId="15" fillId="5" borderId="13" xfId="6" applyNumberFormat="1" applyFont="1" applyFill="1" applyBorder="1" applyAlignment="1">
      <alignment horizontal="center" vertical="center" wrapText="1"/>
    </xf>
    <xf numFmtId="0" fontId="4" fillId="0" borderId="0" xfId="2" applyFont="1" applyAlignment="1">
      <alignment vertical="center"/>
    </xf>
    <xf numFmtId="4" fontId="15" fillId="2" borderId="13" xfId="4" applyNumberFormat="1" applyFont="1" applyBorder="1" applyAlignment="1">
      <alignment horizontal="right" vertical="center" wrapText="1"/>
    </xf>
    <xf numFmtId="4" fontId="15" fillId="2" borderId="15" xfId="4" applyNumberFormat="1" applyFont="1" applyBorder="1" applyAlignment="1">
      <alignment horizontal="right" vertical="center" wrapText="1"/>
    </xf>
    <xf numFmtId="0" fontId="15" fillId="2" borderId="4" xfId="4" applyFont="1" applyBorder="1" applyAlignment="1">
      <alignment horizontal="center" vertical="center" wrapText="1"/>
    </xf>
    <xf numFmtId="0" fontId="14" fillId="2" borderId="4" xfId="4" applyFont="1" applyBorder="1" applyAlignment="1">
      <alignment horizontal="center" vertical="center" wrapText="1"/>
    </xf>
    <xf numFmtId="1" fontId="5" fillId="2" borderId="4" xfId="4" applyNumberFormat="1" applyFont="1" applyBorder="1" applyAlignment="1">
      <alignment horizontal="center" vertical="center" wrapText="1"/>
    </xf>
    <xf numFmtId="1" fontId="15" fillId="2" borderId="13" xfId="4" applyNumberFormat="1" applyFont="1" applyBorder="1" applyAlignment="1">
      <alignment horizontal="center" vertical="center" wrapText="1"/>
    </xf>
    <xf numFmtId="0" fontId="15" fillId="2" borderId="15" xfId="4" applyFont="1" applyBorder="1" applyAlignment="1">
      <alignment horizontal="center" vertical="center" wrapText="1"/>
    </xf>
    <xf numFmtId="4" fontId="14" fillId="0" borderId="16" xfId="3" applyNumberFormat="1" applyFont="1" applyBorder="1" applyAlignment="1">
      <alignment horizontal="right" vertical="center" wrapText="1"/>
    </xf>
    <xf numFmtId="0" fontId="14" fillId="0" borderId="18" xfId="3" applyFont="1" applyBorder="1" applyAlignment="1">
      <alignment horizontal="left" vertical="center" wrapText="1"/>
    </xf>
    <xf numFmtId="0" fontId="14" fillId="0" borderId="18" xfId="3" applyFont="1" applyBorder="1" applyAlignment="1">
      <alignment horizontal="center" vertical="center" wrapText="1"/>
    </xf>
    <xf numFmtId="1" fontId="5" fillId="0" borderId="17" xfId="2" applyNumberFormat="1" applyFont="1" applyBorder="1" applyAlignment="1" applyProtection="1">
      <alignment horizontal="center" vertical="center"/>
    </xf>
    <xf numFmtId="1" fontId="14" fillId="0" borderId="1" xfId="2" applyNumberFormat="1" applyFont="1" applyBorder="1" applyAlignment="1" applyProtection="1">
      <alignment horizontal="left" vertical="center"/>
    </xf>
    <xf numFmtId="4" fontId="14" fillId="0" borderId="1" xfId="3" applyNumberFormat="1" applyFont="1" applyBorder="1" applyAlignment="1">
      <alignment horizontal="right" vertical="center" wrapText="1"/>
    </xf>
    <xf numFmtId="0" fontId="14" fillId="0" borderId="0" xfId="3" applyFont="1" applyBorder="1" applyAlignment="1">
      <alignment horizontal="left" vertical="center" wrapText="1"/>
    </xf>
    <xf numFmtId="0" fontId="14" fillId="0" borderId="0" xfId="3" applyFont="1" applyBorder="1" applyAlignment="1">
      <alignment horizontal="center" vertical="center" wrapText="1"/>
    </xf>
    <xf numFmtId="4" fontId="15" fillId="5" borderId="13" xfId="6" applyNumberFormat="1" applyFont="1" applyFill="1" applyBorder="1" applyAlignment="1">
      <alignment horizontal="right" vertical="center" wrapText="1"/>
    </xf>
    <xf numFmtId="0" fontId="14" fillId="0" borderId="0" xfId="6" applyFont="1" applyFill="1" applyBorder="1" applyAlignment="1">
      <alignment horizontal="center" vertical="center" wrapText="1"/>
    </xf>
    <xf numFmtId="0" fontId="4" fillId="0" borderId="0" xfId="2" applyFont="1" applyBorder="1" applyAlignment="1">
      <alignment vertical="center"/>
    </xf>
    <xf numFmtId="4" fontId="14" fillId="0" borderId="9" xfId="6" applyNumberFormat="1" applyFont="1" applyFill="1" applyBorder="1" applyAlignment="1">
      <alignment horizontal="right" vertical="center" wrapText="1"/>
    </xf>
    <xf numFmtId="0" fontId="15" fillId="0" borderId="11" xfId="6" applyFont="1" applyFill="1" applyBorder="1" applyAlignment="1">
      <alignment horizontal="left" vertical="center" wrapText="1"/>
    </xf>
    <xf numFmtId="0" fontId="14" fillId="0" borderId="11" xfId="6" applyFont="1" applyFill="1" applyBorder="1" applyAlignment="1">
      <alignment horizontal="center" vertical="center" wrapText="1"/>
    </xf>
    <xf numFmtId="1" fontId="5" fillId="0" borderId="10" xfId="6" applyNumberFormat="1" applyFont="1" applyFill="1" applyBorder="1" applyAlignment="1">
      <alignment horizontal="center" vertical="center" wrapText="1"/>
    </xf>
    <xf numFmtId="1" fontId="5" fillId="5" borderId="15" xfId="6" applyNumberFormat="1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vertical="center"/>
    </xf>
    <xf numFmtId="4" fontId="14" fillId="0" borderId="20" xfId="3" applyNumberFormat="1" applyFont="1" applyBorder="1" applyAlignment="1">
      <alignment horizontal="right" vertical="center" wrapText="1"/>
    </xf>
    <xf numFmtId="1" fontId="5" fillId="0" borderId="21" xfId="2" applyNumberFormat="1" applyFont="1" applyBorder="1" applyAlignment="1" applyProtection="1">
      <alignment horizontal="center" vertical="center"/>
    </xf>
    <xf numFmtId="0" fontId="6" fillId="0" borderId="0" xfId="2" applyFont="1" applyBorder="1" applyAlignment="1">
      <alignment vertical="center"/>
    </xf>
    <xf numFmtId="0" fontId="6" fillId="0" borderId="0" xfId="2" applyFont="1" applyFill="1" applyBorder="1" applyAlignment="1">
      <alignment vertical="center"/>
    </xf>
    <xf numFmtId="4" fontId="19" fillId="0" borderId="1" xfId="3" applyNumberFormat="1" applyFont="1" applyBorder="1" applyAlignment="1">
      <alignment horizontal="right" vertical="center" wrapText="1"/>
    </xf>
    <xf numFmtId="1" fontId="20" fillId="0" borderId="2" xfId="2" applyNumberFormat="1" applyFont="1" applyBorder="1" applyAlignment="1" applyProtection="1">
      <alignment horizontal="center" vertical="center"/>
    </xf>
    <xf numFmtId="1" fontId="19" fillId="0" borderId="1" xfId="2" applyNumberFormat="1" applyFont="1" applyBorder="1" applyAlignment="1" applyProtection="1">
      <alignment horizontal="left" vertical="center"/>
    </xf>
    <xf numFmtId="0" fontId="21" fillId="0" borderId="0" xfId="2" applyFont="1" applyBorder="1" applyAlignment="1">
      <alignment vertical="center"/>
    </xf>
    <xf numFmtId="0" fontId="21" fillId="0" borderId="0" xfId="2" applyFont="1" applyFill="1" applyBorder="1" applyAlignment="1">
      <alignment vertical="center"/>
    </xf>
    <xf numFmtId="4" fontId="22" fillId="0" borderId="23" xfId="3" applyNumberFormat="1" applyFont="1" applyBorder="1" applyAlignment="1">
      <alignment horizontal="right" vertical="center" wrapText="1"/>
    </xf>
    <xf numFmtId="0" fontId="15" fillId="0" borderId="25" xfId="3" applyFont="1" applyBorder="1" applyAlignment="1">
      <alignment horizontal="left" vertical="center" wrapText="1"/>
    </xf>
    <xf numFmtId="0" fontId="19" fillId="0" borderId="25" xfId="3" quotePrefix="1" applyFont="1" applyBorder="1" applyAlignment="1">
      <alignment horizontal="center" vertical="center" wrapText="1"/>
    </xf>
    <xf numFmtId="1" fontId="5" fillId="0" borderId="24" xfId="2" applyNumberFormat="1" applyFont="1" applyBorder="1" applyAlignment="1" applyProtection="1">
      <alignment horizontal="center" vertical="center"/>
    </xf>
    <xf numFmtId="1" fontId="22" fillId="0" borderId="1" xfId="2" applyNumberFormat="1" applyFont="1" applyBorder="1" applyAlignment="1" applyProtection="1">
      <alignment horizontal="left" vertical="center"/>
    </xf>
    <xf numFmtId="0" fontId="14" fillId="0" borderId="25" xfId="3" applyFont="1" applyBorder="1" applyAlignment="1">
      <alignment horizontal="center" vertical="center" wrapText="1"/>
    </xf>
    <xf numFmtId="1" fontId="5" fillId="0" borderId="29" xfId="2" applyNumberFormat="1" applyFont="1" applyBorder="1" applyAlignment="1" applyProtection="1">
      <alignment horizontal="center" vertical="center"/>
    </xf>
    <xf numFmtId="0" fontId="17" fillId="0" borderId="0" xfId="2" applyFont="1" applyFill="1" applyAlignment="1">
      <alignment vertical="center"/>
    </xf>
    <xf numFmtId="0" fontId="14" fillId="0" borderId="11" xfId="6" applyFont="1" applyFill="1" applyBorder="1" applyAlignment="1">
      <alignment horizontal="left" vertical="center" wrapText="1"/>
    </xf>
    <xf numFmtId="1" fontId="15" fillId="0" borderId="9" xfId="6" applyNumberFormat="1" applyFont="1" applyFill="1" applyBorder="1" applyAlignment="1">
      <alignment horizontal="center" vertical="center" wrapText="1"/>
    </xf>
    <xf numFmtId="0" fontId="5" fillId="0" borderId="0" xfId="2" applyFont="1" applyAlignment="1">
      <alignment vertical="center"/>
    </xf>
    <xf numFmtId="0" fontId="5" fillId="0" borderId="0" xfId="2" applyFont="1" applyFill="1" applyAlignment="1">
      <alignment vertical="center"/>
    </xf>
    <xf numFmtId="0" fontId="15" fillId="2" borderId="4" xfId="4" applyFont="1" applyBorder="1" applyAlignment="1">
      <alignment horizontal="left" vertical="center" wrapText="1"/>
    </xf>
    <xf numFmtId="4" fontId="14" fillId="0" borderId="23" xfId="2" applyNumberFormat="1" applyFont="1" applyBorder="1" applyAlignment="1" applyProtection="1">
      <alignment horizontal="right" vertical="center"/>
    </xf>
    <xf numFmtId="4" fontId="14" fillId="0" borderId="24" xfId="2" applyNumberFormat="1" applyFont="1" applyBorder="1" applyAlignment="1" applyProtection="1">
      <alignment horizontal="right" vertical="center" wrapText="1"/>
    </xf>
    <xf numFmtId="1" fontId="14" fillId="0" borderId="1" xfId="2" applyNumberFormat="1" applyFont="1" applyBorder="1" applyAlignment="1" applyProtection="1">
      <alignment horizontal="center" vertical="center"/>
    </xf>
    <xf numFmtId="0" fontId="19" fillId="0" borderId="0" xfId="2" applyFont="1" applyBorder="1" applyAlignment="1" applyProtection="1">
      <alignment horizontal="center" vertical="center"/>
    </xf>
    <xf numFmtId="1" fontId="20" fillId="0" borderId="0" xfId="2" applyNumberFormat="1" applyFont="1" applyBorder="1" applyAlignment="1" applyProtection="1">
      <alignment horizontal="center" vertical="center"/>
    </xf>
    <xf numFmtId="4" fontId="14" fillId="0" borderId="1" xfId="2" applyNumberFormat="1" applyFont="1" applyBorder="1" applyAlignment="1" applyProtection="1">
      <alignment horizontal="right" vertical="center"/>
    </xf>
    <xf numFmtId="4" fontId="14" fillId="0" borderId="2" xfId="2" applyNumberFormat="1" applyFont="1" applyBorder="1" applyAlignment="1" applyProtection="1">
      <alignment horizontal="right" vertical="center" wrapText="1"/>
    </xf>
    <xf numFmtId="0" fontId="14" fillId="0" borderId="0" xfId="2" applyFont="1" applyBorder="1" applyAlignment="1" applyProtection="1">
      <alignment horizontal="center" vertical="center"/>
    </xf>
    <xf numFmtId="0" fontId="14" fillId="0" borderId="0" xfId="2" applyFont="1" applyBorder="1" applyAlignment="1" applyProtection="1">
      <alignment horizontal="left" vertical="center" wrapText="1"/>
    </xf>
    <xf numFmtId="0" fontId="14" fillId="0" borderId="25" xfId="2" applyFont="1" applyBorder="1" applyAlignment="1" applyProtection="1">
      <alignment horizontal="center" vertical="center"/>
    </xf>
    <xf numFmtId="4" fontId="14" fillId="0" borderId="16" xfId="2" applyNumberFormat="1" applyFont="1" applyBorder="1" applyAlignment="1" applyProtection="1">
      <alignment horizontal="right" vertical="center"/>
    </xf>
    <xf numFmtId="4" fontId="14" fillId="0" borderId="17" xfId="2" applyNumberFormat="1" applyFont="1" applyBorder="1" applyAlignment="1" applyProtection="1">
      <alignment horizontal="right" vertical="center" wrapText="1"/>
    </xf>
    <xf numFmtId="4" fontId="14" fillId="0" borderId="16" xfId="2" applyNumberFormat="1" applyFont="1" applyBorder="1" applyAlignment="1" applyProtection="1">
      <alignment horizontal="right" vertical="center" wrapText="1"/>
    </xf>
    <xf numFmtId="0" fontId="14" fillId="0" borderId="18" xfId="2" applyFont="1" applyBorder="1" applyAlignment="1" applyProtection="1">
      <alignment horizontal="center" vertical="center"/>
    </xf>
    <xf numFmtId="0" fontId="14" fillId="0" borderId="25" xfId="2" applyFont="1" applyBorder="1" applyAlignment="1" applyProtection="1">
      <alignment horizontal="left" vertical="center" wrapText="1"/>
    </xf>
    <xf numFmtId="0" fontId="14" fillId="0" borderId="18" xfId="2" applyFont="1" applyBorder="1" applyAlignment="1" applyProtection="1">
      <alignment horizontal="left" vertical="center" wrapText="1"/>
    </xf>
    <xf numFmtId="0" fontId="4" fillId="0" borderId="0" xfId="2" applyFont="1" applyFill="1" applyAlignment="1">
      <alignment vertical="center"/>
    </xf>
    <xf numFmtId="4" fontId="14" fillId="0" borderId="1" xfId="2" applyNumberFormat="1" applyFont="1" applyBorder="1" applyAlignment="1" applyProtection="1">
      <alignment horizontal="right" vertical="center" wrapText="1"/>
    </xf>
    <xf numFmtId="0" fontId="18" fillId="5" borderId="0" xfId="2" applyFont="1" applyFill="1" applyAlignment="1">
      <alignment vertical="center"/>
    </xf>
    <xf numFmtId="0" fontId="18" fillId="0" borderId="0" xfId="2" applyFont="1" applyFill="1" applyAlignment="1">
      <alignment vertical="center"/>
    </xf>
    <xf numFmtId="4" fontId="15" fillId="5" borderId="13" xfId="2" applyNumberFormat="1" applyFont="1" applyFill="1" applyBorder="1" applyAlignment="1" applyProtection="1">
      <alignment horizontal="right" vertical="center" wrapText="1"/>
    </xf>
    <xf numFmtId="4" fontId="15" fillId="5" borderId="15" xfId="2" applyNumberFormat="1" applyFont="1" applyFill="1" applyBorder="1" applyAlignment="1" applyProtection="1">
      <alignment horizontal="right" vertical="center" wrapText="1"/>
    </xf>
    <xf numFmtId="0" fontId="15" fillId="5" borderId="4" xfId="2" applyFont="1" applyFill="1" applyBorder="1" applyAlignment="1" applyProtection="1">
      <alignment horizontal="left" vertical="center" wrapText="1"/>
    </xf>
    <xf numFmtId="0" fontId="14" fillId="5" borderId="4" xfId="2" applyFont="1" applyFill="1" applyBorder="1" applyAlignment="1" applyProtection="1">
      <alignment horizontal="center" vertical="center"/>
    </xf>
    <xf numFmtId="1" fontId="5" fillId="5" borderId="4" xfId="2" applyNumberFormat="1" applyFont="1" applyFill="1" applyBorder="1" applyAlignment="1" applyProtection="1">
      <alignment horizontal="center" vertical="center"/>
    </xf>
    <xf numFmtId="1" fontId="15" fillId="5" borderId="13" xfId="2" applyNumberFormat="1" applyFont="1" applyFill="1" applyBorder="1" applyAlignment="1" applyProtection="1">
      <alignment horizontal="center" vertical="center"/>
    </xf>
    <xf numFmtId="4" fontId="14" fillId="0" borderId="9" xfId="2" applyNumberFormat="1" applyFont="1" applyBorder="1" applyAlignment="1" applyProtection="1">
      <alignment horizontal="right" vertical="center"/>
    </xf>
    <xf numFmtId="4" fontId="14" fillId="0" borderId="9" xfId="2" applyNumberFormat="1" applyFont="1" applyBorder="1" applyAlignment="1" applyProtection="1">
      <alignment horizontal="right" vertical="center" wrapText="1"/>
    </xf>
    <xf numFmtId="4" fontId="14" fillId="0" borderId="10" xfId="2" applyNumberFormat="1" applyFont="1" applyBorder="1" applyAlignment="1" applyProtection="1">
      <alignment horizontal="right" vertical="center" wrapText="1"/>
    </xf>
    <xf numFmtId="0" fontId="14" fillId="0" borderId="11" xfId="2" applyFont="1" applyBorder="1" applyAlignment="1" applyProtection="1">
      <alignment horizontal="center" vertical="center"/>
    </xf>
    <xf numFmtId="1" fontId="5" fillId="0" borderId="11" xfId="2" applyNumberFormat="1" applyFont="1" applyBorder="1" applyAlignment="1" applyProtection="1">
      <alignment horizontal="center" vertical="center"/>
    </xf>
    <xf numFmtId="1" fontId="14" fillId="0" borderId="9" xfId="2" applyNumberFormat="1" applyFont="1" applyBorder="1" applyAlignment="1" applyProtection="1">
      <alignment horizontal="center" vertical="center"/>
    </xf>
    <xf numFmtId="0" fontId="10" fillId="5" borderId="0" xfId="2" applyFont="1" applyFill="1" applyAlignment="1">
      <alignment vertical="center"/>
    </xf>
    <xf numFmtId="0" fontId="10" fillId="0" borderId="0" xfId="2" applyFont="1" applyFill="1" applyAlignment="1">
      <alignment vertical="center"/>
    </xf>
    <xf numFmtId="4" fontId="14" fillId="0" borderId="20" xfId="2" applyNumberFormat="1" applyFont="1" applyBorder="1" applyAlignment="1" applyProtection="1">
      <alignment horizontal="right" vertical="center" wrapText="1"/>
    </xf>
    <xf numFmtId="0" fontId="14" fillId="0" borderId="22" xfId="2" applyFont="1" applyBorder="1" applyAlignment="1" applyProtection="1">
      <alignment horizontal="center" vertical="center"/>
    </xf>
    <xf numFmtId="4" fontId="15" fillId="5" borderId="13" xfId="3" applyNumberFormat="1" applyFont="1" applyFill="1" applyBorder="1" applyAlignment="1">
      <alignment horizontal="right" vertical="center"/>
    </xf>
    <xf numFmtId="4" fontId="15" fillId="5" borderId="15" xfId="3" applyNumberFormat="1" applyFont="1" applyFill="1" applyBorder="1" applyAlignment="1">
      <alignment horizontal="right" vertical="center"/>
    </xf>
    <xf numFmtId="0" fontId="14" fillId="5" borderId="4" xfId="0" applyNumberFormat="1" applyFont="1" applyFill="1" applyBorder="1" applyAlignment="1" applyProtection="1">
      <alignment horizontal="center" vertical="center"/>
    </xf>
    <xf numFmtId="1" fontId="5" fillId="5" borderId="4" xfId="0" applyNumberFormat="1" applyFont="1" applyFill="1" applyBorder="1" applyAlignment="1" applyProtection="1">
      <alignment horizontal="center" vertical="center"/>
    </xf>
    <xf numFmtId="1" fontId="15" fillId="5" borderId="13" xfId="0" applyNumberFormat="1" applyFont="1" applyFill="1" applyBorder="1" applyAlignment="1" applyProtection="1">
      <alignment horizontal="center" vertical="center" wrapText="1"/>
    </xf>
    <xf numFmtId="4" fontId="14" fillId="0" borderId="0" xfId="6" applyNumberFormat="1" applyFont="1" applyFill="1" applyBorder="1" applyAlignment="1">
      <alignment horizontal="center" vertical="center" wrapText="1"/>
    </xf>
    <xf numFmtId="4" fontId="17" fillId="0" borderId="0" xfId="5" applyNumberFormat="1" applyFont="1" applyAlignment="1">
      <alignment vertical="center"/>
    </xf>
    <xf numFmtId="0" fontId="19" fillId="0" borderId="0" xfId="6" applyFont="1" applyFill="1" applyBorder="1" applyAlignment="1">
      <alignment horizontal="left" vertical="center" wrapText="1"/>
    </xf>
    <xf numFmtId="1" fontId="14" fillId="0" borderId="1" xfId="0" applyNumberFormat="1" applyFont="1" applyBorder="1" applyAlignment="1" applyProtection="1">
      <alignment horizontal="center" vertical="center" wrapText="1"/>
    </xf>
    <xf numFmtId="0" fontId="15" fillId="5" borderId="4" xfId="0" applyNumberFormat="1" applyFont="1" applyFill="1" applyBorder="1" applyAlignment="1" applyProtection="1">
      <alignment horizontal="left" vertical="center" wrapText="1"/>
    </xf>
    <xf numFmtId="0" fontId="15" fillId="5" borderId="12" xfId="6" applyFont="1" applyFill="1" applyBorder="1" applyAlignment="1">
      <alignment horizontal="left" vertical="center" wrapText="1"/>
    </xf>
    <xf numFmtId="0" fontId="14" fillId="5" borderId="12" xfId="6" applyFont="1" applyFill="1" applyBorder="1" applyAlignment="1">
      <alignment horizontal="center" vertical="center" wrapText="1"/>
    </xf>
    <xf numFmtId="1" fontId="5" fillId="5" borderId="12" xfId="6" applyNumberFormat="1" applyFont="1" applyFill="1" applyBorder="1" applyAlignment="1">
      <alignment horizontal="center" vertical="center" wrapText="1"/>
    </xf>
    <xf numFmtId="1" fontId="15" fillId="5" borderId="7" xfId="6" applyNumberFormat="1" applyFont="1" applyFill="1" applyBorder="1" applyAlignment="1">
      <alignment horizontal="center" vertical="center" wrapText="1"/>
    </xf>
    <xf numFmtId="1" fontId="15" fillId="0" borderId="1" xfId="6" applyNumberFormat="1" applyFont="1" applyFill="1" applyBorder="1" applyAlignment="1">
      <alignment horizontal="center" vertical="center" wrapText="1"/>
    </xf>
    <xf numFmtId="4" fontId="6" fillId="0" borderId="0" xfId="5" applyNumberFormat="1" applyFont="1" applyBorder="1" applyAlignment="1">
      <alignment vertical="center"/>
    </xf>
    <xf numFmtId="4" fontId="15" fillId="5" borderId="4" xfId="6" applyNumberFormat="1" applyFont="1" applyFill="1" applyBorder="1" applyAlignment="1">
      <alignment horizontal="left" vertical="center" wrapText="1"/>
    </xf>
    <xf numFmtId="4" fontId="14" fillId="5" borderId="4" xfId="6" applyNumberFormat="1" applyFont="1" applyFill="1" applyBorder="1" applyAlignment="1">
      <alignment horizontal="center" vertical="center" wrapText="1"/>
    </xf>
    <xf numFmtId="4" fontId="18" fillId="0" borderId="0" xfId="5" applyNumberFormat="1" applyFont="1" applyFill="1" applyBorder="1" applyAlignment="1">
      <alignment vertical="center"/>
    </xf>
    <xf numFmtId="0" fontId="15" fillId="0" borderId="33" xfId="6" applyFont="1" applyFill="1" applyBorder="1" applyAlignment="1">
      <alignment horizontal="left" vertical="center" wrapText="1"/>
    </xf>
    <xf numFmtId="4" fontId="14" fillId="0" borderId="25" xfId="6" applyNumberFormat="1" applyFont="1" applyFill="1" applyBorder="1" applyAlignment="1">
      <alignment horizontal="center" vertical="center" wrapText="1"/>
    </xf>
    <xf numFmtId="1" fontId="5" fillId="0" borderId="24" xfId="6" applyNumberFormat="1" applyFont="1" applyFill="1" applyBorder="1" applyAlignment="1">
      <alignment horizontal="center" vertical="center" wrapText="1"/>
    </xf>
    <xf numFmtId="4" fontId="27" fillId="0" borderId="0" xfId="5" applyNumberFormat="1" applyFont="1" applyFill="1" applyBorder="1" applyAlignment="1">
      <alignment vertical="center"/>
    </xf>
    <xf numFmtId="4" fontId="15" fillId="0" borderId="25" xfId="6" applyNumberFormat="1" applyFont="1" applyFill="1" applyBorder="1" applyAlignment="1">
      <alignment horizontal="left" vertical="center" wrapText="1"/>
    </xf>
    <xf numFmtId="4" fontId="18" fillId="0" borderId="0" xfId="5" applyNumberFormat="1" applyFont="1" applyAlignment="1">
      <alignment vertical="center"/>
    </xf>
    <xf numFmtId="4" fontId="15" fillId="0" borderId="1" xfId="6" applyNumberFormat="1" applyFont="1" applyFill="1" applyBorder="1" applyAlignment="1">
      <alignment horizontal="right" vertical="center" wrapText="1"/>
    </xf>
    <xf numFmtId="4" fontId="15" fillId="0" borderId="0" xfId="6" applyNumberFormat="1" applyFont="1" applyFill="1" applyBorder="1" applyAlignment="1">
      <alignment horizontal="left" vertical="center" wrapText="1"/>
    </xf>
    <xf numFmtId="4" fontId="5" fillId="0" borderId="0" xfId="5" applyNumberFormat="1" applyFont="1" applyAlignment="1">
      <alignment vertical="center"/>
    </xf>
    <xf numFmtId="4" fontId="15" fillId="0" borderId="10" xfId="6" applyNumberFormat="1" applyFont="1" applyFill="1" applyBorder="1" applyAlignment="1">
      <alignment horizontal="right" vertical="center" wrapText="1"/>
    </xf>
    <xf numFmtId="4" fontId="15" fillId="0" borderId="11" xfId="6" applyNumberFormat="1" applyFont="1" applyFill="1" applyBorder="1" applyAlignment="1">
      <alignment horizontal="left" vertical="center" wrapText="1"/>
    </xf>
    <xf numFmtId="4" fontId="14" fillId="0" borderId="11" xfId="6" applyNumberFormat="1" applyFont="1" applyFill="1" applyBorder="1" applyAlignment="1">
      <alignment horizontal="center" vertical="center" wrapText="1"/>
    </xf>
    <xf numFmtId="1" fontId="5" fillId="0" borderId="11" xfId="6" applyNumberFormat="1" applyFont="1" applyFill="1" applyBorder="1" applyAlignment="1">
      <alignment horizontal="center" vertical="center" wrapText="1"/>
    </xf>
    <xf numFmtId="4" fontId="15" fillId="5" borderId="12" xfId="6" applyNumberFormat="1" applyFont="1" applyFill="1" applyBorder="1" applyAlignment="1">
      <alignment horizontal="left" vertical="center" wrapText="1"/>
    </xf>
    <xf numFmtId="4" fontId="14" fillId="5" borderId="12" xfId="6" applyNumberFormat="1" applyFont="1" applyFill="1" applyBorder="1" applyAlignment="1">
      <alignment horizontal="center" vertical="center" wrapText="1"/>
    </xf>
    <xf numFmtId="4" fontId="4" fillId="0" borderId="0" xfId="5" applyNumberFormat="1" applyFont="1" applyBorder="1" applyAlignment="1">
      <alignment vertical="center"/>
    </xf>
    <xf numFmtId="4" fontId="15" fillId="2" borderId="4" xfId="4" applyNumberFormat="1" applyFont="1" applyBorder="1" applyAlignment="1">
      <alignment horizontal="center" vertical="center" wrapText="1"/>
    </xf>
    <xf numFmtId="4" fontId="14" fillId="2" borderId="4" xfId="4" applyNumberFormat="1" applyFont="1" applyBorder="1" applyAlignment="1">
      <alignment horizontal="center" vertical="center" wrapText="1"/>
    </xf>
    <xf numFmtId="1" fontId="15" fillId="2" borderId="15" xfId="4" applyNumberFormat="1" applyFont="1" applyBorder="1" applyAlignment="1">
      <alignment horizontal="center" vertical="center" wrapText="1"/>
    </xf>
    <xf numFmtId="0" fontId="4" fillId="0" borderId="0" xfId="5" applyFont="1" applyAlignment="1">
      <alignment vertical="center"/>
    </xf>
    <xf numFmtId="1" fontId="5" fillId="0" borderId="24" xfId="3" applyNumberFormat="1" applyFont="1" applyBorder="1" applyAlignment="1">
      <alignment horizontal="center" vertical="center" wrapText="1"/>
    </xf>
    <xf numFmtId="1" fontId="15" fillId="0" borderId="1" xfId="5" applyNumberFormat="1" applyFont="1" applyBorder="1" applyAlignment="1" applyProtection="1">
      <alignment horizontal="center" vertical="center" wrapText="1"/>
    </xf>
    <xf numFmtId="4" fontId="14" fillId="0" borderId="12" xfId="3" applyNumberFormat="1" applyFont="1" applyBorder="1" applyAlignment="1">
      <alignment horizontal="center" vertical="center" wrapText="1"/>
    </xf>
    <xf numFmtId="4" fontId="14" fillId="0" borderId="21" xfId="3" applyNumberFormat="1" applyFont="1" applyBorder="1" applyAlignment="1">
      <alignment horizontal="right" vertical="center" wrapText="1"/>
    </xf>
    <xf numFmtId="4" fontId="14" fillId="0" borderId="22" xfId="3" applyNumberFormat="1" applyFont="1" applyBorder="1" applyAlignment="1">
      <alignment horizontal="left" vertical="center" wrapText="1"/>
    </xf>
    <xf numFmtId="4" fontId="14" fillId="0" borderId="22" xfId="3" applyNumberFormat="1" applyFont="1" applyBorder="1" applyAlignment="1">
      <alignment horizontal="center" vertical="center" wrapText="1"/>
    </xf>
    <xf numFmtId="1" fontId="5" fillId="0" borderId="21" xfId="3" applyNumberFormat="1" applyFont="1" applyBorder="1" applyAlignment="1">
      <alignment horizontal="center" vertical="center" wrapText="1"/>
    </xf>
    <xf numFmtId="4" fontId="14" fillId="0" borderId="24" xfId="3" applyNumberFormat="1" applyFont="1" applyBorder="1" applyAlignment="1">
      <alignment horizontal="right" vertical="center" wrapText="1"/>
    </xf>
    <xf numFmtId="4" fontId="14" fillId="0" borderId="25" xfId="6" applyNumberFormat="1" applyFont="1" applyFill="1" applyBorder="1" applyAlignment="1">
      <alignment horizontal="left" vertical="center" wrapText="1"/>
    </xf>
    <xf numFmtId="4" fontId="14" fillId="0" borderId="25" xfId="3" applyNumberFormat="1" applyFont="1" applyBorder="1" applyAlignment="1">
      <alignment horizontal="center" vertical="center" wrapText="1"/>
    </xf>
    <xf numFmtId="4" fontId="14" fillId="0" borderId="32" xfId="3" applyNumberFormat="1" applyFont="1" applyBorder="1" applyAlignment="1">
      <alignment horizontal="left" vertical="center" wrapText="1"/>
    </xf>
    <xf numFmtId="4" fontId="14" fillId="0" borderId="32" xfId="3" applyNumberFormat="1" applyFont="1" applyBorder="1" applyAlignment="1">
      <alignment horizontal="center" vertical="center" wrapText="1"/>
    </xf>
    <xf numFmtId="1" fontId="5" fillId="0" borderId="32" xfId="3" applyNumberFormat="1" applyFont="1" applyBorder="1" applyAlignment="1">
      <alignment horizontal="center" vertical="center" wrapText="1"/>
    </xf>
    <xf numFmtId="0" fontId="28" fillId="0" borderId="0" xfId="5" applyFont="1" applyAlignment="1">
      <alignment vertical="center"/>
    </xf>
    <xf numFmtId="4" fontId="19" fillId="0" borderId="1" xfId="6" applyNumberFormat="1" applyFont="1" applyFill="1" applyBorder="1" applyAlignment="1">
      <alignment horizontal="right" vertical="center" wrapText="1"/>
    </xf>
    <xf numFmtId="1" fontId="20" fillId="0" borderId="0" xfId="6" applyNumberFormat="1" applyFont="1" applyFill="1" applyBorder="1" applyAlignment="1">
      <alignment horizontal="center" vertical="center" wrapText="1"/>
    </xf>
    <xf numFmtId="1" fontId="19" fillId="0" borderId="1" xfId="6" applyNumberFormat="1" applyFont="1" applyFill="1" applyBorder="1" applyAlignment="1">
      <alignment horizontal="center" vertical="center" wrapText="1"/>
    </xf>
    <xf numFmtId="4" fontId="14" fillId="0" borderId="0" xfId="3" applyNumberFormat="1" applyFont="1" applyBorder="1" applyAlignment="1">
      <alignment horizontal="center" vertical="center" wrapText="1"/>
    </xf>
    <xf numFmtId="1" fontId="14" fillId="0" borderId="1" xfId="5" applyNumberFormat="1" applyFont="1" applyBorder="1" applyAlignment="1" applyProtection="1">
      <alignment horizontal="center" vertical="center" wrapText="1"/>
    </xf>
    <xf numFmtId="4" fontId="14" fillId="0" borderId="2" xfId="3" applyNumberFormat="1" applyFont="1" applyBorder="1" applyAlignment="1">
      <alignment horizontal="right" vertical="center" wrapText="1"/>
    </xf>
    <xf numFmtId="4" fontId="14" fillId="0" borderId="0" xfId="3" applyNumberFormat="1" applyFont="1" applyBorder="1" applyAlignment="1">
      <alignment horizontal="left" vertical="center" wrapText="1"/>
    </xf>
    <xf numFmtId="4" fontId="14" fillId="0" borderId="17" xfId="3" applyNumberFormat="1" applyFont="1" applyBorder="1" applyAlignment="1">
      <alignment horizontal="right" vertical="center" wrapText="1"/>
    </xf>
    <xf numFmtId="4" fontId="15" fillId="0" borderId="18" xfId="3" applyNumberFormat="1" applyFont="1" applyBorder="1" applyAlignment="1">
      <alignment horizontal="left" vertical="center" wrapText="1"/>
    </xf>
    <xf numFmtId="4" fontId="14" fillId="0" borderId="18" xfId="3" applyNumberFormat="1" applyFont="1" applyBorder="1" applyAlignment="1">
      <alignment horizontal="center" vertical="center" wrapText="1"/>
    </xf>
    <xf numFmtId="1" fontId="5" fillId="0" borderId="17" xfId="3" applyNumberFormat="1" applyFont="1" applyBorder="1" applyAlignment="1">
      <alignment horizontal="center" vertical="center" wrapText="1"/>
    </xf>
    <xf numFmtId="0" fontId="14" fillId="0" borderId="32" xfId="3" applyFont="1" applyBorder="1" applyAlignment="1">
      <alignment horizontal="left" vertical="center" wrapText="1"/>
    </xf>
    <xf numFmtId="4" fontId="19" fillId="0" borderId="0" xfId="3" applyNumberFormat="1" applyFont="1" applyBorder="1" applyAlignment="1">
      <alignment horizontal="left" vertical="center" wrapText="1"/>
    </xf>
    <xf numFmtId="4" fontId="14" fillId="0" borderId="18" xfId="3" applyNumberFormat="1" applyFont="1" applyBorder="1" applyAlignment="1">
      <alignment horizontal="left" vertical="center" wrapText="1"/>
    </xf>
    <xf numFmtId="4" fontId="14" fillId="0" borderId="11" xfId="3" applyNumberFormat="1" applyFont="1" applyBorder="1" applyAlignment="1">
      <alignment horizontal="left" vertical="center" wrapText="1"/>
    </xf>
    <xf numFmtId="4" fontId="14" fillId="0" borderId="11" xfId="3" applyNumberFormat="1" applyFont="1" applyBorder="1" applyAlignment="1">
      <alignment horizontal="center" vertical="center" wrapText="1"/>
    </xf>
    <xf numFmtId="1" fontId="5" fillId="0" borderId="11" xfId="3" applyNumberFormat="1" applyFont="1" applyBorder="1" applyAlignment="1">
      <alignment horizontal="center" vertical="center" wrapText="1"/>
    </xf>
    <xf numFmtId="1" fontId="14" fillId="0" borderId="9" xfId="5" applyNumberFormat="1" applyFont="1" applyBorder="1" applyAlignment="1" applyProtection="1">
      <alignment horizontal="center" vertical="center" wrapText="1"/>
    </xf>
    <xf numFmtId="4" fontId="4" fillId="0" borderId="0" xfId="7" applyNumberFormat="1" applyFont="1" applyAlignment="1">
      <alignment vertical="center"/>
    </xf>
    <xf numFmtId="0" fontId="4" fillId="0" borderId="0" xfId="2" applyFont="1" applyBorder="1" applyAlignment="1">
      <alignment horizontal="left" vertical="center"/>
    </xf>
    <xf numFmtId="4" fontId="19" fillId="0" borderId="7" xfId="2" applyNumberFormat="1" applyFont="1" applyBorder="1" applyAlignment="1" applyProtection="1">
      <alignment horizontal="right" vertical="center" wrapText="1"/>
    </xf>
    <xf numFmtId="1" fontId="5" fillId="0" borderId="8" xfId="2" applyNumberFormat="1" applyFont="1" applyBorder="1" applyAlignment="1" applyProtection="1">
      <alignment horizontal="center" vertical="center"/>
    </xf>
    <xf numFmtId="0" fontId="14" fillId="0" borderId="0" xfId="2" quotePrefix="1" applyFont="1" applyBorder="1" applyAlignment="1" applyProtection="1">
      <alignment horizontal="center" vertical="center"/>
    </xf>
    <xf numFmtId="0" fontId="19" fillId="0" borderId="34" xfId="2" applyFont="1" applyBorder="1" applyAlignment="1" applyProtection="1">
      <alignment horizontal="right" vertical="center" wrapText="1"/>
    </xf>
    <xf numFmtId="0" fontId="19" fillId="0" borderId="0" xfId="2" applyFont="1" applyBorder="1" applyAlignment="1" applyProtection="1">
      <alignment horizontal="center" vertical="center" wrapText="1"/>
    </xf>
    <xf numFmtId="0" fontId="19" fillId="0" borderId="2" xfId="2" applyFont="1" applyBorder="1" applyAlignment="1" applyProtection="1">
      <alignment horizontal="right" vertical="center" wrapText="1"/>
    </xf>
    <xf numFmtId="4" fontId="15" fillId="0" borderId="9" xfId="2" applyNumberFormat="1" applyFont="1" applyBorder="1" applyAlignment="1" applyProtection="1">
      <alignment horizontal="right" vertical="center"/>
    </xf>
    <xf numFmtId="4" fontId="15" fillId="0" borderId="9" xfId="2" applyNumberFormat="1" applyFont="1" applyBorder="1" applyAlignment="1" applyProtection="1">
      <alignment horizontal="right" vertical="center" wrapText="1"/>
    </xf>
    <xf numFmtId="0" fontId="15" fillId="0" borderId="11" xfId="2" applyFont="1" applyBorder="1" applyAlignment="1" applyProtection="1">
      <alignment horizontal="left" vertical="center" wrapText="1"/>
    </xf>
    <xf numFmtId="1" fontId="5" fillId="0" borderId="10" xfId="2" applyNumberFormat="1" applyFont="1" applyBorder="1" applyAlignment="1" applyProtection="1">
      <alignment horizontal="center" vertical="center"/>
    </xf>
    <xf numFmtId="0" fontId="15" fillId="5" borderId="11" xfId="6" applyFont="1" applyFill="1" applyBorder="1" applyAlignment="1">
      <alignment horizontal="left" vertical="center" wrapText="1"/>
    </xf>
    <xf numFmtId="0" fontId="14" fillId="5" borderId="11" xfId="6" applyFont="1" applyFill="1" applyBorder="1" applyAlignment="1">
      <alignment horizontal="center" vertical="center" wrapText="1"/>
    </xf>
    <xf numFmtId="1" fontId="5" fillId="5" borderId="11" xfId="6" applyNumberFormat="1" applyFont="1" applyFill="1" applyBorder="1" applyAlignment="1">
      <alignment horizontal="center" vertical="center" wrapText="1"/>
    </xf>
    <xf numFmtId="4" fontId="14" fillId="0" borderId="14" xfId="2" applyNumberFormat="1" applyFont="1" applyBorder="1" applyAlignment="1" applyProtection="1">
      <alignment horizontal="right" vertical="center"/>
    </xf>
    <xf numFmtId="4" fontId="14" fillId="0" borderId="30" xfId="2" applyNumberFormat="1" applyFont="1" applyBorder="1" applyAlignment="1" applyProtection="1">
      <alignment horizontal="right" vertical="center" wrapText="1"/>
    </xf>
    <xf numFmtId="0" fontId="14" fillId="0" borderId="32" xfId="2" applyFont="1" applyBorder="1" applyAlignment="1" applyProtection="1">
      <alignment vertical="center" wrapText="1"/>
    </xf>
    <xf numFmtId="0" fontId="14" fillId="0" borderId="32" xfId="2" applyFont="1" applyBorder="1" applyAlignment="1" applyProtection="1">
      <alignment horizontal="center" vertical="center"/>
    </xf>
    <xf numFmtId="1" fontId="5" fillId="0" borderId="31" xfId="2" applyNumberFormat="1" applyFont="1" applyBorder="1" applyAlignment="1" applyProtection="1">
      <alignment horizontal="center" vertical="center"/>
    </xf>
    <xf numFmtId="4" fontId="17" fillId="0" borderId="0" xfId="5" applyNumberFormat="1" applyFont="1" applyBorder="1" applyAlignment="1">
      <alignment vertical="center"/>
    </xf>
    <xf numFmtId="4" fontId="15" fillId="0" borderId="16" xfId="6" applyNumberFormat="1" applyFont="1" applyFill="1" applyBorder="1" applyAlignment="1">
      <alignment horizontal="right" vertical="center" wrapText="1"/>
    </xf>
    <xf numFmtId="4" fontId="14" fillId="0" borderId="18" xfId="6" applyNumberFormat="1" applyFont="1" applyFill="1" applyBorder="1" applyAlignment="1">
      <alignment horizontal="center" vertical="center" wrapText="1"/>
    </xf>
    <xf numFmtId="1" fontId="5" fillId="0" borderId="17" xfId="6" applyNumberFormat="1" applyFont="1" applyFill="1" applyBorder="1" applyAlignment="1">
      <alignment horizontal="center" vertical="center" wrapText="1"/>
    </xf>
    <xf numFmtId="4" fontId="15" fillId="0" borderId="24" xfId="6" applyNumberFormat="1" applyFont="1" applyFill="1" applyBorder="1" applyAlignment="1">
      <alignment horizontal="right" vertical="center" wrapText="1"/>
    </xf>
    <xf numFmtId="0" fontId="14" fillId="0" borderId="18" xfId="3" applyFont="1" applyFill="1" applyBorder="1" applyAlignment="1">
      <alignment horizontal="left" vertical="center" wrapText="1"/>
    </xf>
    <xf numFmtId="4" fontId="28" fillId="0" borderId="0" xfId="5" applyNumberFormat="1" applyFont="1" applyAlignment="1">
      <alignment vertical="center"/>
    </xf>
    <xf numFmtId="4" fontId="22" fillId="0" borderId="1" xfId="6" applyNumberFormat="1" applyFont="1" applyFill="1" applyBorder="1" applyAlignment="1">
      <alignment horizontal="right" vertical="center" wrapText="1"/>
    </xf>
    <xf numFmtId="4" fontId="19" fillId="0" borderId="0" xfId="6" applyNumberFormat="1" applyFont="1" applyFill="1" applyBorder="1" applyAlignment="1">
      <alignment horizontal="left" vertical="center" wrapText="1"/>
    </xf>
    <xf numFmtId="4" fontId="19" fillId="0" borderId="0" xfId="6" applyNumberFormat="1" applyFont="1" applyFill="1" applyBorder="1" applyAlignment="1">
      <alignment horizontal="center" vertical="center" wrapText="1"/>
    </xf>
    <xf numFmtId="1" fontId="22" fillId="0" borderId="1" xfId="6" applyNumberFormat="1" applyFont="1" applyFill="1" applyBorder="1" applyAlignment="1">
      <alignment horizontal="center" vertical="center" wrapText="1"/>
    </xf>
    <xf numFmtId="0" fontId="6" fillId="0" borderId="0" xfId="5" applyFont="1" applyAlignment="1">
      <alignment vertical="center"/>
    </xf>
    <xf numFmtId="0" fontId="19" fillId="0" borderId="0" xfId="3" applyFont="1" applyBorder="1" applyAlignment="1">
      <alignment vertical="center" wrapText="1"/>
    </xf>
    <xf numFmtId="0" fontId="19" fillId="0" borderId="0" xfId="3" applyFont="1" applyBorder="1" applyAlignment="1">
      <alignment horizontal="center" vertical="center" wrapText="1"/>
    </xf>
    <xf numFmtId="1" fontId="22" fillId="0" borderId="1" xfId="5" applyNumberFormat="1" applyFont="1" applyBorder="1" applyAlignment="1" applyProtection="1">
      <alignment horizontal="center" vertical="center" wrapText="1"/>
    </xf>
    <xf numFmtId="0" fontId="15" fillId="0" borderId="25" xfId="3" applyFont="1" applyFill="1" applyBorder="1" applyAlignment="1">
      <alignment horizontal="left" vertical="center" wrapText="1"/>
    </xf>
    <xf numFmtId="4" fontId="28" fillId="0" borderId="0" xfId="5" applyNumberFormat="1" applyFont="1" applyFill="1" applyAlignment="1">
      <alignment vertical="center"/>
    </xf>
    <xf numFmtId="0" fontId="14" fillId="0" borderId="32" xfId="3" applyFont="1" applyBorder="1" applyAlignment="1">
      <alignment horizontal="center" vertical="center" wrapText="1"/>
    </xf>
    <xf numFmtId="0" fontId="17" fillId="0" borderId="0" xfId="5" applyFont="1" applyAlignment="1">
      <alignment vertical="center"/>
    </xf>
    <xf numFmtId="1" fontId="5" fillId="0" borderId="2" xfId="3" applyNumberFormat="1" applyFont="1" applyBorder="1" applyAlignment="1">
      <alignment horizontal="center" vertical="center" wrapText="1"/>
    </xf>
    <xf numFmtId="4" fontId="15" fillId="0" borderId="25" xfId="3" applyNumberFormat="1" applyFont="1" applyBorder="1" applyAlignment="1">
      <alignment horizontal="left" vertical="center" wrapText="1"/>
    </xf>
    <xf numFmtId="4" fontId="18" fillId="0" borderId="0" xfId="5" applyNumberFormat="1" applyFont="1" applyBorder="1" applyAlignment="1">
      <alignment vertical="center"/>
    </xf>
    <xf numFmtId="4" fontId="15" fillId="0" borderId="1" xfId="3" applyNumberFormat="1" applyFont="1" applyBorder="1" applyAlignment="1">
      <alignment horizontal="right" vertical="center" wrapText="1"/>
    </xf>
    <xf numFmtId="0" fontId="15" fillId="0" borderId="25" xfId="6" applyFont="1" applyFill="1" applyBorder="1" applyAlignment="1">
      <alignment horizontal="left" vertical="center" wrapText="1"/>
    </xf>
    <xf numFmtId="4" fontId="17" fillId="0" borderId="0" xfId="5" applyNumberFormat="1" applyFont="1" applyFill="1" applyAlignment="1">
      <alignment vertical="center"/>
    </xf>
    <xf numFmtId="4" fontId="14" fillId="0" borderId="36" xfId="3" applyNumberFormat="1" applyFont="1" applyBorder="1" applyAlignment="1">
      <alignment horizontal="right" vertical="center" wrapText="1"/>
    </xf>
    <xf numFmtId="4" fontId="15" fillId="0" borderId="36" xfId="6" applyNumberFormat="1" applyFont="1" applyFill="1" applyBorder="1" applyAlignment="1">
      <alignment horizontal="right" vertical="center" wrapText="1"/>
    </xf>
    <xf numFmtId="4" fontId="14" fillId="0" borderId="23" xfId="6" applyNumberFormat="1" applyFont="1" applyFill="1" applyBorder="1" applyAlignment="1">
      <alignment horizontal="right" vertical="center" wrapText="1"/>
    </xf>
    <xf numFmtId="0" fontId="14" fillId="0" borderId="25" xfId="6" applyFont="1" applyFill="1" applyBorder="1" applyAlignment="1">
      <alignment horizontal="left" vertical="center" wrapText="1"/>
    </xf>
    <xf numFmtId="4" fontId="14" fillId="0" borderId="16" xfId="6" applyNumberFormat="1" applyFont="1" applyFill="1" applyBorder="1" applyAlignment="1">
      <alignment horizontal="right" vertical="center" wrapText="1"/>
    </xf>
    <xf numFmtId="4" fontId="15" fillId="0" borderId="2" xfId="6" applyNumberFormat="1" applyFont="1" applyFill="1" applyBorder="1" applyAlignment="1">
      <alignment horizontal="right" vertical="center" wrapText="1"/>
    </xf>
    <xf numFmtId="4" fontId="19" fillId="0" borderId="23" xfId="6" applyNumberFormat="1" applyFont="1" applyFill="1" applyBorder="1" applyAlignment="1">
      <alignment horizontal="right" vertical="center" wrapText="1"/>
    </xf>
    <xf numFmtId="0" fontId="19" fillId="0" borderId="25" xfId="6" applyFont="1" applyFill="1" applyBorder="1" applyAlignment="1">
      <alignment horizontal="center" vertical="center" wrapText="1"/>
    </xf>
    <xf numFmtId="4" fontId="15" fillId="0" borderId="37" xfId="6" applyNumberFormat="1" applyFont="1" applyFill="1" applyBorder="1" applyAlignment="1">
      <alignment horizontal="left" vertical="center" wrapText="1"/>
    </xf>
    <xf numFmtId="0" fontId="14" fillId="0" borderId="25" xfId="6" applyFont="1" applyFill="1" applyBorder="1" applyAlignment="1">
      <alignment horizontal="center" vertical="center" wrapText="1"/>
    </xf>
    <xf numFmtId="0" fontId="15" fillId="0" borderId="33" xfId="3" applyFont="1" applyBorder="1" applyAlignment="1">
      <alignment horizontal="left" vertical="center" wrapText="1"/>
    </xf>
    <xf numFmtId="0" fontId="18" fillId="0" borderId="0" xfId="5" applyFont="1" applyAlignment="1">
      <alignment vertical="center"/>
    </xf>
    <xf numFmtId="4" fontId="32" fillId="0" borderId="20" xfId="3" applyNumberFormat="1" applyFont="1" applyBorder="1" applyAlignment="1">
      <alignment horizontal="right" vertical="center" wrapText="1"/>
    </xf>
    <xf numFmtId="4" fontId="14" fillId="0" borderId="22" xfId="3" applyNumberFormat="1" applyFont="1" applyFill="1" applyBorder="1" applyAlignment="1">
      <alignment horizontal="left" vertical="center" wrapText="1"/>
    </xf>
    <xf numFmtId="1" fontId="14" fillId="0" borderId="1" xfId="3" applyNumberFormat="1" applyFont="1" applyBorder="1" applyAlignment="1">
      <alignment horizontal="center" vertical="center" wrapText="1"/>
    </xf>
    <xf numFmtId="4" fontId="27" fillId="0" borderId="0" xfId="5" applyNumberFormat="1" applyFont="1" applyAlignment="1">
      <alignment vertical="center"/>
    </xf>
    <xf numFmtId="0" fontId="5" fillId="0" borderId="0" xfId="5" applyFont="1" applyAlignment="1">
      <alignment vertical="center"/>
    </xf>
    <xf numFmtId="0" fontId="14" fillId="0" borderId="3" xfId="3" applyFont="1" applyBorder="1" applyAlignment="1">
      <alignment horizontal="left" vertical="center" wrapText="1"/>
    </xf>
    <xf numFmtId="0" fontId="14" fillId="0" borderId="40" xfId="3" applyFont="1" applyBorder="1" applyAlignment="1">
      <alignment horizontal="center" vertical="center" wrapText="1"/>
    </xf>
    <xf numFmtId="1" fontId="5" fillId="0" borderId="40" xfId="3" applyNumberFormat="1" applyFont="1" applyBorder="1" applyAlignment="1">
      <alignment horizontal="center" vertical="center" wrapText="1"/>
    </xf>
    <xf numFmtId="4" fontId="15" fillId="5" borderId="7" xfId="6" applyNumberFormat="1" applyFont="1" applyFill="1" applyBorder="1" applyAlignment="1">
      <alignment horizontal="right" vertical="center" wrapText="1"/>
    </xf>
    <xf numFmtId="0" fontId="10" fillId="0" borderId="0" xfId="2" applyFont="1" applyAlignment="1">
      <alignment vertical="center"/>
    </xf>
    <xf numFmtId="1" fontId="15" fillId="0" borderId="1" xfId="2" applyNumberFormat="1" applyFont="1" applyBorder="1" applyAlignment="1" applyProtection="1">
      <alignment horizontal="center" vertical="center"/>
    </xf>
    <xf numFmtId="0" fontId="10" fillId="0" borderId="0" xfId="2" applyFont="1" applyBorder="1" applyAlignment="1">
      <alignment vertical="center"/>
    </xf>
    <xf numFmtId="0" fontId="19" fillId="0" borderId="35" xfId="3" applyFont="1" applyBorder="1" applyAlignment="1">
      <alignment horizontal="left" vertical="center" wrapText="1"/>
    </xf>
    <xf numFmtId="4" fontId="15" fillId="0" borderId="23" xfId="2" applyNumberFormat="1" applyFont="1" applyBorder="1" applyAlignment="1" applyProtection="1">
      <alignment horizontal="right" vertical="center"/>
    </xf>
    <xf numFmtId="4" fontId="15" fillId="0" borderId="23" xfId="2" applyNumberFormat="1" applyFont="1" applyBorder="1" applyAlignment="1" applyProtection="1">
      <alignment horizontal="right" vertical="center" wrapText="1"/>
    </xf>
    <xf numFmtId="4" fontId="15" fillId="0" borderId="24" xfId="2" applyNumberFormat="1" applyFont="1" applyBorder="1" applyAlignment="1" applyProtection="1">
      <alignment horizontal="right" vertical="center" wrapText="1"/>
    </xf>
    <xf numFmtId="0" fontId="15" fillId="0" borderId="25" xfId="2" applyFont="1" applyBorder="1" applyAlignment="1" applyProtection="1">
      <alignment horizontal="left" vertical="center" wrapText="1"/>
    </xf>
    <xf numFmtId="0" fontId="4" fillId="0" borderId="0" xfId="5" applyFont="1" applyFill="1" applyBorder="1" applyAlignment="1">
      <alignment vertical="center"/>
    </xf>
    <xf numFmtId="0" fontId="15" fillId="0" borderId="0" xfId="3" applyFont="1" applyBorder="1" applyAlignment="1">
      <alignment horizontal="left" vertical="center" wrapText="1"/>
    </xf>
    <xf numFmtId="0" fontId="27" fillId="5" borderId="1" xfId="2" applyFont="1" applyFill="1" applyBorder="1" applyAlignment="1">
      <alignment vertical="center"/>
    </xf>
    <xf numFmtId="0" fontId="15" fillId="5" borderId="4" xfId="2" applyFont="1" applyFill="1" applyBorder="1" applyAlignment="1">
      <alignment horizontal="left" vertical="center"/>
    </xf>
    <xf numFmtId="0" fontId="14" fillId="5" borderId="4" xfId="0" applyFont="1" applyFill="1" applyBorder="1" applyAlignment="1">
      <alignment horizontal="center" vertical="center" wrapText="1"/>
    </xf>
    <xf numFmtId="4" fontId="14" fillId="0" borderId="20" xfId="1" applyNumberFormat="1" applyFont="1" applyFill="1" applyBorder="1" applyAlignment="1" applyProtection="1">
      <alignment horizontal="right" vertical="center" wrapText="1"/>
    </xf>
    <xf numFmtId="4" fontId="14" fillId="0" borderId="21" xfId="1" applyNumberFormat="1" applyFont="1" applyFill="1" applyBorder="1" applyAlignment="1" applyProtection="1">
      <alignment horizontal="right" vertical="center" wrapText="1"/>
    </xf>
    <xf numFmtId="0" fontId="14" fillId="0" borderId="22" xfId="3" applyFont="1" applyBorder="1" applyAlignment="1">
      <alignment horizontal="left" vertical="center" wrapText="1"/>
    </xf>
    <xf numFmtId="4" fontId="14" fillId="0" borderId="1" xfId="1" applyNumberFormat="1" applyFont="1" applyFill="1" applyBorder="1" applyAlignment="1" applyProtection="1">
      <alignment horizontal="right" vertical="center" wrapText="1"/>
    </xf>
    <xf numFmtId="4" fontId="14" fillId="0" borderId="2" xfId="1" applyNumberFormat="1" applyFont="1" applyFill="1" applyBorder="1" applyAlignment="1" applyProtection="1">
      <alignment horizontal="right" vertical="center" wrapText="1"/>
    </xf>
    <xf numFmtId="0" fontId="17" fillId="0" borderId="0" xfId="2" applyFont="1" applyBorder="1" applyAlignment="1">
      <alignment vertical="center"/>
    </xf>
    <xf numFmtId="0" fontId="4" fillId="5" borderId="0" xfId="2" applyFont="1" applyFill="1" applyBorder="1" applyAlignment="1">
      <alignment vertical="center"/>
    </xf>
    <xf numFmtId="0" fontId="15" fillId="5" borderId="4" xfId="3" applyFont="1" applyFill="1" applyBorder="1" applyAlignment="1">
      <alignment horizontal="left" vertical="center" wrapText="1"/>
    </xf>
    <xf numFmtId="0" fontId="14" fillId="6" borderId="10" xfId="2" applyFont="1" applyFill="1" applyBorder="1" applyAlignment="1" applyProtection="1">
      <alignment horizontal="center" vertical="center"/>
    </xf>
    <xf numFmtId="0" fontId="27" fillId="0" borderId="0" xfId="2" applyFont="1" applyFill="1" applyAlignment="1">
      <alignment vertical="center"/>
    </xf>
    <xf numFmtId="0" fontId="27" fillId="2" borderId="0" xfId="2" applyFont="1" applyFill="1" applyAlignment="1">
      <alignment vertical="center"/>
    </xf>
    <xf numFmtId="0" fontId="15" fillId="2" borderId="4" xfId="0" applyFont="1" applyFill="1" applyBorder="1" applyAlignment="1">
      <alignment horizontal="center" vertical="center" wrapText="1"/>
    </xf>
    <xf numFmtId="0" fontId="15" fillId="2" borderId="15" xfId="2" applyFont="1" applyFill="1" applyBorder="1" applyAlignment="1" applyProtection="1">
      <alignment horizontal="center" vertical="center"/>
    </xf>
    <xf numFmtId="0" fontId="6" fillId="0" borderId="0" xfId="2" applyFont="1" applyAlignment="1">
      <alignment vertical="center"/>
    </xf>
    <xf numFmtId="0" fontId="14" fillId="0" borderId="12" xfId="3" applyFont="1" applyBorder="1" applyAlignment="1">
      <alignment horizontal="left" vertical="center" wrapText="1"/>
    </xf>
    <xf numFmtId="49" fontId="19" fillId="0" borderId="12" xfId="3" applyNumberFormat="1" applyFont="1" applyBorder="1" applyAlignment="1">
      <alignment horizontal="center" vertical="center" wrapText="1"/>
    </xf>
    <xf numFmtId="1" fontId="19" fillId="0" borderId="7" xfId="2" applyNumberFormat="1" applyFont="1" applyBorder="1" applyAlignment="1" applyProtection="1">
      <alignment horizontal="center" vertical="center"/>
    </xf>
    <xf numFmtId="4" fontId="19" fillId="0" borderId="9" xfId="2" applyNumberFormat="1" applyFont="1" applyBorder="1" applyAlignment="1" applyProtection="1">
      <alignment horizontal="right" vertical="center" wrapText="1"/>
    </xf>
    <xf numFmtId="0" fontId="14" fillId="0" borderId="11" xfId="3" applyFont="1" applyBorder="1" applyAlignment="1">
      <alignment horizontal="left" vertical="center" wrapText="1"/>
    </xf>
    <xf numFmtId="49" fontId="19" fillId="0" borderId="11" xfId="3" applyNumberFormat="1" applyFont="1" applyBorder="1" applyAlignment="1">
      <alignment horizontal="center" vertical="center" wrapText="1"/>
    </xf>
    <xf numFmtId="1" fontId="19" fillId="0" borderId="9" xfId="2" applyNumberFormat="1" applyFont="1" applyBorder="1" applyAlignment="1" applyProtection="1">
      <alignment horizontal="center" vertical="center"/>
    </xf>
    <xf numFmtId="0" fontId="28" fillId="0" borderId="0" xfId="2" applyFont="1" applyAlignment="1">
      <alignment vertical="center"/>
    </xf>
    <xf numFmtId="0" fontId="15" fillId="5" borderId="11" xfId="0" applyFont="1" applyFill="1" applyBorder="1" applyAlignment="1">
      <alignment vertical="center" wrapText="1"/>
    </xf>
    <xf numFmtId="1" fontId="15" fillId="5" borderId="1" xfId="6" applyNumberFormat="1" applyFont="1" applyFill="1" applyBorder="1" applyAlignment="1">
      <alignment horizontal="center" vertical="center" wrapText="1"/>
    </xf>
    <xf numFmtId="4" fontId="15" fillId="2" borderId="13" xfId="2" applyNumberFormat="1" applyFont="1" applyFill="1" applyBorder="1" applyAlignment="1" applyProtection="1">
      <alignment horizontal="right" vertical="center" wrapText="1"/>
    </xf>
    <xf numFmtId="49" fontId="19" fillId="2" borderId="4" xfId="3" applyNumberFormat="1" applyFont="1" applyFill="1" applyBorder="1" applyAlignment="1">
      <alignment horizontal="center" vertical="center" wrapText="1"/>
    </xf>
    <xf numFmtId="1" fontId="5" fillId="2" borderId="4" xfId="2" applyNumberFormat="1" applyFont="1" applyFill="1" applyBorder="1" applyAlignment="1" applyProtection="1">
      <alignment horizontal="center" vertical="center"/>
    </xf>
    <xf numFmtId="1" fontId="15" fillId="2" borderId="13" xfId="2" applyNumberFormat="1" applyFont="1" applyFill="1" applyBorder="1" applyAlignment="1" applyProtection="1">
      <alignment horizontal="center" vertical="center"/>
    </xf>
    <xf numFmtId="0" fontId="6" fillId="0" borderId="0" xfId="2" applyFont="1" applyFill="1" applyAlignment="1">
      <alignment vertical="center"/>
    </xf>
    <xf numFmtId="4" fontId="14" fillId="0" borderId="9" xfId="3" applyNumberFormat="1" applyFont="1" applyFill="1" applyBorder="1" applyAlignment="1">
      <alignment horizontal="right" vertical="center" wrapText="1"/>
    </xf>
    <xf numFmtId="0" fontId="14" fillId="0" borderId="11" xfId="0" applyFont="1" applyFill="1" applyBorder="1" applyAlignment="1">
      <alignment vertical="center" wrapText="1"/>
    </xf>
    <xf numFmtId="0" fontId="14" fillId="0" borderId="11" xfId="3" applyFont="1" applyFill="1" applyBorder="1" applyAlignment="1">
      <alignment horizontal="center" vertical="center" wrapText="1"/>
    </xf>
    <xf numFmtId="1" fontId="5" fillId="0" borderId="11" xfId="2" applyNumberFormat="1" applyFont="1" applyFill="1" applyBorder="1" applyAlignment="1" applyProtection="1">
      <alignment horizontal="center" vertical="center"/>
    </xf>
    <xf numFmtId="1" fontId="19" fillId="0" borderId="9" xfId="2" applyNumberFormat="1" applyFont="1" applyFill="1" applyBorder="1" applyAlignment="1" applyProtection="1">
      <alignment horizontal="left" vertical="center"/>
    </xf>
    <xf numFmtId="4" fontId="15" fillId="5" borderId="1" xfId="6" applyNumberFormat="1" applyFont="1" applyFill="1" applyBorder="1" applyAlignment="1">
      <alignment horizontal="right" vertical="center" wrapText="1"/>
    </xf>
    <xf numFmtId="1" fontId="5" fillId="0" borderId="8" xfId="3" applyNumberFormat="1" applyFont="1" applyBorder="1" applyAlignment="1">
      <alignment horizontal="center" vertical="center" wrapText="1"/>
    </xf>
    <xf numFmtId="4" fontId="14" fillId="0" borderId="1" xfId="5" applyNumberFormat="1" applyFont="1" applyBorder="1" applyAlignment="1">
      <alignment horizontal="right" vertical="center" wrapText="1"/>
    </xf>
    <xf numFmtId="4" fontId="14" fillId="0" borderId="2" xfId="5" applyNumberFormat="1" applyFont="1" applyBorder="1" applyAlignment="1">
      <alignment horizontal="right" vertical="center" wrapText="1"/>
    </xf>
    <xf numFmtId="0" fontId="19" fillId="0" borderId="0" xfId="5" applyFont="1" applyBorder="1" applyAlignment="1">
      <alignment horizontal="left" vertical="center" wrapText="1"/>
    </xf>
    <xf numFmtId="49" fontId="19" fillId="0" borderId="0" xfId="3" applyNumberFormat="1" applyFont="1" applyBorder="1" applyAlignment="1">
      <alignment horizontal="center" vertical="center" wrapText="1"/>
    </xf>
    <xf numFmtId="1" fontId="19" fillId="0" borderId="1" xfId="2" applyNumberFormat="1" applyFont="1" applyFill="1" applyBorder="1" applyAlignment="1" applyProtection="1">
      <alignment horizontal="left" vertical="center"/>
    </xf>
    <xf numFmtId="0" fontId="14" fillId="0" borderId="18" xfId="0" applyFont="1" applyBorder="1" applyAlignment="1" applyProtection="1">
      <alignment horizontal="center" vertical="center"/>
    </xf>
    <xf numFmtId="1" fontId="5" fillId="0" borderId="17" xfId="0" applyNumberFormat="1" applyFont="1" applyBorder="1" applyAlignment="1" applyProtection="1">
      <alignment horizontal="center" vertical="center"/>
    </xf>
    <xf numFmtId="0" fontId="19" fillId="0" borderId="0" xfId="3" applyFont="1" applyFill="1" applyBorder="1" applyAlignment="1">
      <alignment horizontal="center" vertical="center" wrapText="1"/>
    </xf>
    <xf numFmtId="1" fontId="5" fillId="0" borderId="0" xfId="2" applyNumberFormat="1" applyFont="1" applyFill="1" applyBorder="1" applyAlignment="1" applyProtection="1">
      <alignment horizontal="center" vertical="center"/>
    </xf>
    <xf numFmtId="0" fontId="15" fillId="0" borderId="11" xfId="0" applyFont="1" applyFill="1" applyBorder="1" applyAlignment="1">
      <alignment vertical="center" wrapText="1"/>
    </xf>
    <xf numFmtId="0" fontId="14" fillId="0" borderId="11" xfId="3" applyFont="1" applyBorder="1" applyAlignment="1">
      <alignment horizontal="center" vertical="center" wrapText="1"/>
    </xf>
    <xf numFmtId="0" fontId="21" fillId="0" borderId="0" xfId="2" applyFont="1" applyAlignment="1">
      <alignment vertical="center"/>
    </xf>
    <xf numFmtId="4" fontId="22" fillId="0" borderId="16" xfId="3" applyNumberFormat="1" applyFont="1" applyBorder="1" applyAlignment="1">
      <alignment horizontal="right" vertical="center" wrapText="1"/>
    </xf>
    <xf numFmtId="4" fontId="14" fillId="0" borderId="16" xfId="3" applyNumberFormat="1" applyFont="1" applyBorder="1" applyAlignment="1" applyProtection="1">
      <alignment horizontal="right" vertical="center" wrapText="1"/>
      <protection locked="0"/>
    </xf>
    <xf numFmtId="0" fontId="20" fillId="0" borderId="0" xfId="5" applyFont="1" applyAlignment="1">
      <alignment vertical="center"/>
    </xf>
    <xf numFmtId="0" fontId="34" fillId="0" borderId="0" xfId="3" applyFont="1" applyBorder="1" applyAlignment="1">
      <alignment horizontal="left" vertical="center" wrapText="1"/>
    </xf>
    <xf numFmtId="1" fontId="20" fillId="0" borderId="0" xfId="3" applyNumberFormat="1" applyFont="1" applyBorder="1" applyAlignment="1">
      <alignment horizontal="center" vertical="center" wrapText="1"/>
    </xf>
    <xf numFmtId="4" fontId="19" fillId="0" borderId="2" xfId="3" applyNumberFormat="1" applyFont="1" applyBorder="1" applyAlignment="1">
      <alignment horizontal="right" vertical="center" wrapText="1"/>
    </xf>
    <xf numFmtId="0" fontId="14" fillId="0" borderId="0" xfId="3" applyFont="1" applyFill="1" applyBorder="1" applyAlignment="1">
      <alignment horizontal="left" vertical="center" wrapText="1"/>
    </xf>
    <xf numFmtId="0" fontId="14" fillId="0" borderId="18" xfId="0" applyFont="1" applyBorder="1" applyAlignment="1">
      <alignment vertical="center" wrapText="1"/>
    </xf>
    <xf numFmtId="0" fontId="14" fillId="0" borderId="11" xfId="0" applyFont="1" applyBorder="1" applyAlignment="1">
      <alignment vertical="center" wrapText="1"/>
    </xf>
    <xf numFmtId="4" fontId="14" fillId="0" borderId="23" xfId="2" applyNumberFormat="1" applyFont="1" applyBorder="1" applyAlignment="1" applyProtection="1">
      <alignment horizontal="right" vertical="center" wrapText="1"/>
    </xf>
    <xf numFmtId="0" fontId="35" fillId="0" borderId="25" xfId="0" applyFont="1" applyBorder="1" applyAlignment="1">
      <alignment horizontal="left" vertical="center" wrapText="1"/>
    </xf>
    <xf numFmtId="0" fontId="15" fillId="6" borderId="10" xfId="6" applyFont="1" applyFill="1" applyBorder="1" applyAlignment="1">
      <alignment horizontal="center" vertical="center" wrapText="1"/>
    </xf>
    <xf numFmtId="0" fontId="4" fillId="0" borderId="1" xfId="2" applyFont="1" applyBorder="1" applyAlignment="1">
      <alignment vertical="center"/>
    </xf>
    <xf numFmtId="0" fontId="4" fillId="0" borderId="35" xfId="2" applyFont="1" applyBorder="1" applyAlignment="1">
      <alignment vertical="center"/>
    </xf>
    <xf numFmtId="0" fontId="31" fillId="0" borderId="0" xfId="2" applyFont="1" applyAlignment="1">
      <alignment vertical="center"/>
    </xf>
    <xf numFmtId="0" fontId="36" fillId="0" borderId="25" xfId="0" applyFont="1" applyBorder="1" applyAlignment="1">
      <alignment horizontal="justify" vertical="center" wrapText="1"/>
    </xf>
    <xf numFmtId="0" fontId="35" fillId="0" borderId="25" xfId="0" applyFont="1" applyBorder="1" applyAlignment="1">
      <alignment horizontal="justify" vertical="center" wrapText="1"/>
    </xf>
    <xf numFmtId="0" fontId="19" fillId="0" borderId="25" xfId="3" applyFont="1" applyFill="1" applyBorder="1" applyAlignment="1">
      <alignment horizontal="center" vertical="center" wrapText="1"/>
    </xf>
    <xf numFmtId="0" fontId="28" fillId="0" borderId="0" xfId="2" applyFont="1" applyBorder="1" applyAlignment="1">
      <alignment vertical="center"/>
    </xf>
    <xf numFmtId="0" fontId="37" fillId="0" borderId="0" xfId="0" applyFont="1" applyBorder="1" applyAlignment="1">
      <alignment horizontal="left" vertical="center" wrapText="1"/>
    </xf>
    <xf numFmtId="0" fontId="18" fillId="0" borderId="0" xfId="2" applyFont="1" applyAlignment="1">
      <alignment vertical="center"/>
    </xf>
    <xf numFmtId="4" fontId="15" fillId="0" borderId="30" xfId="3" applyNumberFormat="1" applyFont="1" applyBorder="1" applyAlignment="1">
      <alignment horizontal="right" vertical="center" wrapText="1"/>
    </xf>
    <xf numFmtId="0" fontId="36" fillId="0" borderId="32" xfId="0" applyFont="1" applyBorder="1" applyAlignment="1">
      <alignment horizontal="justify" vertical="center" wrapText="1"/>
    </xf>
    <xf numFmtId="1" fontId="5" fillId="0" borderId="32" xfId="2" applyNumberFormat="1" applyFont="1" applyBorder="1" applyAlignment="1" applyProtection="1">
      <alignment horizontal="center" vertical="center"/>
    </xf>
    <xf numFmtId="0" fontId="4" fillId="0" borderId="0" xfId="2" applyFont="1" applyAlignment="1">
      <alignment horizontal="left" vertical="center"/>
    </xf>
    <xf numFmtId="4" fontId="15" fillId="6" borderId="23" xfId="6" applyNumberFormat="1" applyFont="1" applyFill="1" applyBorder="1" applyAlignment="1">
      <alignment horizontal="right" vertical="center" wrapText="1"/>
    </xf>
    <xf numFmtId="4" fontId="14" fillId="0" borderId="0" xfId="5" applyNumberFormat="1" applyFont="1" applyAlignment="1">
      <alignment horizontal="right" vertical="center"/>
    </xf>
    <xf numFmtId="1" fontId="5" fillId="0" borderId="24" xfId="2" applyNumberFormat="1" applyFont="1" applyBorder="1" applyAlignment="1" applyProtection="1">
      <alignment horizontal="center" vertical="center"/>
    </xf>
    <xf numFmtId="4" fontId="15" fillId="5" borderId="43" xfId="6" applyNumberFormat="1" applyFont="1" applyFill="1" applyBorder="1" applyAlignment="1">
      <alignment horizontal="left" vertical="center" wrapText="1"/>
    </xf>
    <xf numFmtId="4" fontId="15" fillId="0" borderId="9" xfId="3" applyNumberFormat="1" applyFont="1" applyBorder="1" applyAlignment="1">
      <alignment horizontal="right" vertical="center" wrapText="1"/>
    </xf>
    <xf numFmtId="0" fontId="22" fillId="0" borderId="41" xfId="2" applyFont="1" applyBorder="1" applyAlignment="1" applyProtection="1">
      <alignment horizontal="center" vertical="center"/>
    </xf>
    <xf numFmtId="0" fontId="14" fillId="0" borderId="41" xfId="2" applyFont="1" applyBorder="1" applyAlignment="1" applyProtection="1">
      <alignment horizontal="center" vertical="center"/>
    </xf>
    <xf numFmtId="1" fontId="14" fillId="0" borderId="42" xfId="2" applyNumberFormat="1" applyFont="1" applyBorder="1" applyAlignment="1" applyProtection="1">
      <alignment horizontal="center" vertical="center"/>
    </xf>
    <xf numFmtId="4" fontId="23" fillId="0" borderId="33" xfId="3" applyNumberFormat="1" applyFont="1" applyBorder="1" applyAlignment="1">
      <alignment horizontal="left" vertical="center" wrapText="1"/>
    </xf>
    <xf numFmtId="0" fontId="19" fillId="0" borderId="41" xfId="2" applyFont="1" applyBorder="1" applyAlignment="1" applyProtection="1">
      <alignment horizontal="center" vertical="center"/>
    </xf>
    <xf numFmtId="1" fontId="19" fillId="0" borderId="42" xfId="2" applyNumberFormat="1" applyFont="1" applyBorder="1" applyAlignment="1" applyProtection="1">
      <alignment horizontal="left" vertical="center"/>
    </xf>
    <xf numFmtId="1" fontId="22" fillId="0" borderId="42" xfId="2" applyNumberFormat="1" applyFont="1" applyBorder="1" applyAlignment="1" applyProtection="1">
      <alignment horizontal="left" vertical="center"/>
    </xf>
    <xf numFmtId="1" fontId="5" fillId="0" borderId="41" xfId="6" applyNumberFormat="1" applyFont="1" applyFill="1" applyBorder="1" applyAlignment="1">
      <alignment horizontal="center" vertical="center" wrapText="1"/>
    </xf>
    <xf numFmtId="4" fontId="15" fillId="0" borderId="41" xfId="6" applyNumberFormat="1" applyFont="1" applyFill="1" applyBorder="1" applyAlignment="1">
      <alignment horizontal="right" vertical="center" wrapText="1"/>
    </xf>
    <xf numFmtId="0" fontId="14" fillId="0" borderId="41" xfId="2" applyFont="1" applyBorder="1" applyAlignment="1" applyProtection="1">
      <alignment horizontal="left" vertical="center"/>
    </xf>
    <xf numFmtId="1" fontId="14" fillId="0" borderId="42" xfId="2" applyNumberFormat="1" applyFont="1" applyBorder="1" applyAlignment="1" applyProtection="1">
      <alignment horizontal="left" vertical="center"/>
    </xf>
    <xf numFmtId="0" fontId="4" fillId="0" borderId="25" xfId="2" applyFont="1" applyBorder="1" applyAlignment="1">
      <alignment horizontal="center" vertical="center"/>
    </xf>
    <xf numFmtId="0" fontId="14" fillId="0" borderId="25" xfId="3" applyFont="1" applyBorder="1" applyAlignment="1">
      <alignment horizontal="left" vertical="center" wrapText="1"/>
    </xf>
    <xf numFmtId="4" fontId="14" fillId="0" borderId="41" xfId="5" applyNumberFormat="1" applyFont="1" applyFill="1" applyBorder="1" applyAlignment="1" applyProtection="1">
      <alignment horizontal="center" vertical="center"/>
    </xf>
    <xf numFmtId="1" fontId="14" fillId="0" borderId="1" xfId="3" applyNumberFormat="1" applyFont="1" applyBorder="1" applyAlignment="1">
      <alignment vertical="center" wrapText="1"/>
    </xf>
    <xf numFmtId="4" fontId="14" fillId="0" borderId="25" xfId="3" applyNumberFormat="1" applyFont="1" applyBorder="1" applyAlignment="1">
      <alignment vertical="center" wrapText="1"/>
    </xf>
    <xf numFmtId="4" fontId="14" fillId="0" borderId="33" xfId="3" applyNumberFormat="1" applyFont="1" applyFill="1" applyBorder="1" applyAlignment="1">
      <alignment vertical="center" wrapText="1"/>
    </xf>
    <xf numFmtId="1" fontId="1" fillId="0" borderId="2" xfId="2" applyNumberFormat="1" applyFont="1" applyBorder="1" applyAlignment="1" applyProtection="1">
      <alignment vertical="center"/>
    </xf>
    <xf numFmtId="0" fontId="14" fillId="0" borderId="25" xfId="2" applyFont="1" applyBorder="1" applyAlignment="1" applyProtection="1">
      <alignment vertical="center" wrapText="1"/>
    </xf>
    <xf numFmtId="0" fontId="1" fillId="0" borderId="0" xfId="2" applyFont="1" applyAlignment="1">
      <alignment vertical="center"/>
    </xf>
    <xf numFmtId="0" fontId="19" fillId="0" borderId="41" xfId="2" applyFont="1" applyFill="1" applyBorder="1" applyAlignment="1" applyProtection="1">
      <alignment horizontal="center" vertical="center"/>
    </xf>
    <xf numFmtId="1" fontId="19" fillId="0" borderId="42" xfId="2" applyNumberFormat="1" applyFont="1" applyFill="1" applyBorder="1" applyAlignment="1" applyProtection="1">
      <alignment horizontal="left" vertical="center"/>
    </xf>
    <xf numFmtId="4" fontId="15" fillId="5" borderId="15" xfId="6" applyNumberFormat="1" applyFont="1" applyFill="1" applyBorder="1" applyAlignment="1">
      <alignment horizontal="right" vertical="center" wrapText="1"/>
    </xf>
    <xf numFmtId="0" fontId="4" fillId="0" borderId="0" xfId="2" applyFont="1" applyBorder="1" applyAlignment="1">
      <alignment vertical="center"/>
    </xf>
    <xf numFmtId="0" fontId="14" fillId="0" borderId="0" xfId="3" applyFont="1" applyBorder="1" applyAlignment="1">
      <alignment horizontal="center" vertical="center" wrapText="1"/>
    </xf>
    <xf numFmtId="4" fontId="14" fillId="0" borderId="41" xfId="3" applyNumberFormat="1" applyFont="1" applyBorder="1" applyAlignment="1">
      <alignment horizontal="right" vertical="center" wrapText="1"/>
    </xf>
    <xf numFmtId="4" fontId="14" fillId="0" borderId="42" xfId="3" applyNumberFormat="1" applyFont="1" applyBorder="1" applyAlignment="1">
      <alignment horizontal="right" vertical="center" wrapText="1"/>
    </xf>
    <xf numFmtId="4" fontId="14" fillId="0" borderId="30" xfId="3" applyNumberFormat="1" applyFont="1" applyBorder="1" applyAlignment="1">
      <alignment horizontal="right" vertical="center" wrapText="1"/>
    </xf>
    <xf numFmtId="4" fontId="14" fillId="0" borderId="31" xfId="3" applyNumberFormat="1" applyFont="1" applyBorder="1" applyAlignment="1">
      <alignment horizontal="right" vertical="center" wrapText="1"/>
    </xf>
    <xf numFmtId="0" fontId="19" fillId="0" borderId="0" xfId="2" applyFont="1" applyBorder="1" applyAlignment="1" applyProtection="1">
      <alignment horizontal="left" vertical="center" wrapText="1"/>
    </xf>
    <xf numFmtId="4" fontId="19" fillId="0" borderId="42" xfId="3" applyNumberFormat="1" applyFont="1" applyBorder="1" applyAlignment="1">
      <alignment horizontal="right" vertical="center" wrapText="1"/>
    </xf>
    <xf numFmtId="0" fontId="19" fillId="0" borderId="0" xfId="3" applyFont="1" applyBorder="1" applyAlignment="1">
      <alignment horizontal="left" vertical="center" wrapText="1"/>
    </xf>
    <xf numFmtId="4" fontId="14" fillId="0" borderId="9" xfId="3" applyNumberFormat="1" applyFont="1" applyBorder="1" applyAlignment="1">
      <alignment horizontal="right" vertical="center" wrapText="1"/>
    </xf>
    <xf numFmtId="1" fontId="15" fillId="0" borderId="42" xfId="6" applyNumberFormat="1" applyFont="1" applyFill="1" applyBorder="1" applyAlignment="1">
      <alignment horizontal="center" vertical="center" wrapText="1"/>
    </xf>
    <xf numFmtId="4" fontId="15" fillId="0" borderId="42" xfId="6" applyNumberFormat="1" applyFont="1" applyFill="1" applyBorder="1" applyAlignment="1">
      <alignment horizontal="right" vertical="center" wrapText="1"/>
    </xf>
    <xf numFmtId="4" fontId="14" fillId="0" borderId="42" xfId="6" applyNumberFormat="1" applyFont="1" applyFill="1" applyBorder="1" applyAlignment="1">
      <alignment horizontal="right" vertical="center" wrapText="1"/>
    </xf>
    <xf numFmtId="1" fontId="15" fillId="0" borderId="42" xfId="5" applyNumberFormat="1" applyFont="1" applyBorder="1" applyAlignment="1" applyProtection="1">
      <alignment horizontal="center" vertical="center" wrapText="1"/>
    </xf>
    <xf numFmtId="0" fontId="19" fillId="0" borderId="41" xfId="5" applyFont="1" applyBorder="1" applyAlignment="1" applyProtection="1">
      <alignment horizontal="center" vertical="center"/>
    </xf>
    <xf numFmtId="0" fontId="14" fillId="0" borderId="0" xfId="6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vertical="center"/>
    </xf>
    <xf numFmtId="0" fontId="6" fillId="0" borderId="0" xfId="2" applyFont="1" applyBorder="1" applyAlignment="1">
      <alignment vertical="center"/>
    </xf>
    <xf numFmtId="4" fontId="15" fillId="0" borderId="42" xfId="3" applyNumberFormat="1" applyFont="1" applyBorder="1" applyAlignment="1">
      <alignment horizontal="right" vertical="center" wrapText="1"/>
    </xf>
    <xf numFmtId="4" fontId="14" fillId="0" borderId="41" xfId="5" applyNumberFormat="1" applyFont="1" applyBorder="1" applyAlignment="1" applyProtection="1">
      <alignment horizontal="center" vertical="center"/>
    </xf>
    <xf numFmtId="4" fontId="4" fillId="0" borderId="0" xfId="5" applyNumberFormat="1" applyFont="1" applyAlignment="1">
      <alignment vertical="center"/>
    </xf>
    <xf numFmtId="4" fontId="17" fillId="0" borderId="0" xfId="5" applyNumberFormat="1" applyFont="1" applyAlignment="1">
      <alignment vertical="center"/>
    </xf>
    <xf numFmtId="4" fontId="15" fillId="0" borderId="9" xfId="6" applyNumberFormat="1" applyFont="1" applyFill="1" applyBorder="1" applyAlignment="1">
      <alignment horizontal="right" vertical="center" wrapText="1"/>
    </xf>
    <xf numFmtId="0" fontId="15" fillId="0" borderId="41" xfId="5" applyFont="1" applyBorder="1" applyAlignment="1" applyProtection="1">
      <alignment horizontal="center" vertical="center"/>
    </xf>
    <xf numFmtId="0" fontId="17" fillId="0" borderId="0" xfId="5" applyFont="1" applyAlignment="1">
      <alignment vertical="center"/>
    </xf>
    <xf numFmtId="0" fontId="18" fillId="0" borderId="0" xfId="5" applyFont="1" applyAlignment="1">
      <alignment vertical="center"/>
    </xf>
    <xf numFmtId="0" fontId="19" fillId="0" borderId="0" xfId="6" applyFont="1" applyFill="1" applyBorder="1" applyAlignment="1">
      <alignment horizontal="left" vertical="center" wrapText="1"/>
    </xf>
    <xf numFmtId="1" fontId="19" fillId="0" borderId="42" xfId="6" applyNumberFormat="1" applyFont="1" applyFill="1" applyBorder="1" applyAlignment="1">
      <alignment horizontal="center" vertical="center" wrapText="1"/>
    </xf>
    <xf numFmtId="0" fontId="19" fillId="0" borderId="0" xfId="6" applyFont="1" applyFill="1" applyBorder="1" applyAlignment="1">
      <alignment horizontal="center" vertical="center" wrapText="1"/>
    </xf>
    <xf numFmtId="4" fontId="19" fillId="0" borderId="42" xfId="6" applyNumberFormat="1" applyFont="1" applyFill="1" applyBorder="1" applyAlignment="1">
      <alignment horizontal="right" vertical="center" wrapText="1"/>
    </xf>
    <xf numFmtId="0" fontId="28" fillId="0" borderId="0" xfId="5" applyFont="1" applyAlignment="1">
      <alignment vertical="center"/>
    </xf>
    <xf numFmtId="4" fontId="18" fillId="0" borderId="0" xfId="5" applyNumberFormat="1" applyFont="1" applyBorder="1" applyAlignment="1">
      <alignment vertical="center"/>
    </xf>
    <xf numFmtId="4" fontId="17" fillId="0" borderId="0" xfId="5" applyNumberFormat="1" applyFont="1" applyBorder="1" applyAlignment="1">
      <alignment vertical="center"/>
    </xf>
    <xf numFmtId="4" fontId="14" fillId="0" borderId="0" xfId="6" applyNumberFormat="1" applyFont="1" applyFill="1" applyBorder="1" applyAlignment="1">
      <alignment horizontal="center" vertical="center" wrapText="1"/>
    </xf>
    <xf numFmtId="4" fontId="14" fillId="0" borderId="0" xfId="3" applyNumberFormat="1" applyFont="1" applyBorder="1" applyAlignment="1">
      <alignment horizontal="center" vertical="center" wrapText="1"/>
    </xf>
    <xf numFmtId="4" fontId="14" fillId="0" borderId="11" xfId="3" applyNumberFormat="1" applyFont="1" applyBorder="1" applyAlignment="1">
      <alignment horizontal="center" vertical="center" wrapText="1"/>
    </xf>
    <xf numFmtId="4" fontId="14" fillId="0" borderId="11" xfId="3" applyNumberFormat="1" applyFont="1" applyBorder="1" applyAlignment="1">
      <alignment horizontal="left" vertical="center" wrapText="1"/>
    </xf>
    <xf numFmtId="4" fontId="14" fillId="0" borderId="10" xfId="3" applyNumberFormat="1" applyFont="1" applyBorder="1" applyAlignment="1">
      <alignment horizontal="right" vertical="center" wrapText="1"/>
    </xf>
    <xf numFmtId="1" fontId="5" fillId="0" borderId="0" xfId="3" applyNumberFormat="1" applyFont="1" applyBorder="1" applyAlignment="1">
      <alignment horizontal="center" vertical="center" wrapText="1"/>
    </xf>
    <xf numFmtId="1" fontId="5" fillId="0" borderId="11" xfId="3" applyNumberFormat="1" applyFont="1" applyBorder="1" applyAlignment="1">
      <alignment horizontal="center" vertical="center" wrapText="1"/>
    </xf>
    <xf numFmtId="1" fontId="20" fillId="0" borderId="0" xfId="6" applyNumberFormat="1" applyFont="1" applyFill="1" applyBorder="1" applyAlignment="1">
      <alignment horizontal="center" vertical="center" wrapText="1"/>
    </xf>
    <xf numFmtId="4" fontId="14" fillId="0" borderId="23" xfId="3" applyNumberFormat="1" applyFont="1" applyBorder="1" applyAlignment="1">
      <alignment horizontal="right" vertical="center" wrapText="1"/>
    </xf>
    <xf numFmtId="4" fontId="15" fillId="0" borderId="23" xfId="3" applyNumberFormat="1" applyFont="1" applyBorder="1" applyAlignment="1">
      <alignment horizontal="right" vertical="center" wrapText="1"/>
    </xf>
    <xf numFmtId="1" fontId="5" fillId="0" borderId="24" xfId="6" applyNumberFormat="1" applyFont="1" applyFill="1" applyBorder="1" applyAlignment="1">
      <alignment horizontal="center" vertical="center" wrapText="1"/>
    </xf>
    <xf numFmtId="0" fontId="14" fillId="0" borderId="25" xfId="6" applyFont="1" applyFill="1" applyBorder="1" applyAlignment="1">
      <alignment horizontal="center" vertical="center" wrapText="1"/>
    </xf>
    <xf numFmtId="4" fontId="15" fillId="0" borderId="23" xfId="6" applyNumberFormat="1" applyFont="1" applyFill="1" applyBorder="1" applyAlignment="1">
      <alignment horizontal="right" vertical="center" wrapText="1"/>
    </xf>
    <xf numFmtId="1" fontId="5" fillId="0" borderId="41" xfId="3" applyNumberFormat="1" applyFont="1" applyBorder="1" applyAlignment="1">
      <alignment horizontal="center" vertical="center" wrapText="1"/>
    </xf>
    <xf numFmtId="0" fontId="14" fillId="0" borderId="25" xfId="6" applyFont="1" applyFill="1" applyBorder="1" applyAlignment="1">
      <alignment horizontal="left" vertical="center" wrapText="1"/>
    </xf>
    <xf numFmtId="4" fontId="5" fillId="0" borderId="0" xfId="3" applyNumberFormat="1" applyFont="1" applyBorder="1" applyAlignment="1">
      <alignment horizontal="center" vertical="center" wrapText="1"/>
    </xf>
    <xf numFmtId="0" fontId="19" fillId="0" borderId="0" xfId="3" quotePrefix="1" applyFont="1" applyBorder="1" applyAlignment="1">
      <alignment horizontal="center" vertical="center" wrapText="1"/>
    </xf>
    <xf numFmtId="4" fontId="15" fillId="0" borderId="16" xfId="3" applyNumberFormat="1" applyFont="1" applyBorder="1" applyAlignment="1">
      <alignment horizontal="right" vertical="center" wrapText="1"/>
    </xf>
    <xf numFmtId="0" fontId="15" fillId="0" borderId="25" xfId="6" applyFont="1" applyFill="1" applyBorder="1" applyAlignment="1">
      <alignment horizontal="left" vertical="center" wrapText="1"/>
    </xf>
    <xf numFmtId="4" fontId="19" fillId="0" borderId="0" xfId="3" quotePrefix="1" applyNumberFormat="1" applyFont="1" applyFill="1" applyBorder="1" applyAlignment="1">
      <alignment horizontal="left" vertical="center" wrapText="1"/>
    </xf>
    <xf numFmtId="4" fontId="14" fillId="0" borderId="25" xfId="3" applyNumberFormat="1" applyFont="1" applyBorder="1" applyAlignment="1">
      <alignment horizontal="center" vertical="center" wrapText="1"/>
    </xf>
    <xf numFmtId="4" fontId="14" fillId="0" borderId="25" xfId="3" applyNumberFormat="1" applyFont="1" applyBorder="1" applyAlignment="1">
      <alignment horizontal="left" vertical="center" wrapText="1"/>
    </xf>
    <xf numFmtId="1" fontId="14" fillId="0" borderId="9" xfId="5" applyNumberFormat="1" applyFont="1" applyBorder="1" applyAlignment="1" applyProtection="1">
      <alignment horizontal="center" vertical="center" wrapText="1"/>
    </xf>
    <xf numFmtId="4" fontId="22" fillId="0" borderId="42" xfId="3" applyNumberFormat="1" applyFont="1" applyBorder="1" applyAlignment="1">
      <alignment horizontal="right" vertical="center" wrapText="1"/>
    </xf>
    <xf numFmtId="0" fontId="28" fillId="0" borderId="0" xfId="5" applyFont="1" applyBorder="1" applyAlignment="1">
      <alignment vertical="center"/>
    </xf>
    <xf numFmtId="1" fontId="5" fillId="0" borderId="25" xfId="3" applyNumberFormat="1" applyFont="1" applyBorder="1" applyAlignment="1">
      <alignment horizontal="center" vertical="center" wrapText="1"/>
    </xf>
    <xf numFmtId="4" fontId="14" fillId="0" borderId="25" xfId="3" applyNumberFormat="1" applyFont="1" applyBorder="1" applyAlignment="1">
      <alignment horizontal="right" vertical="center" wrapText="1"/>
    </xf>
    <xf numFmtId="4" fontId="15" fillId="0" borderId="25" xfId="3" applyNumberFormat="1" applyFont="1" applyBorder="1" applyAlignment="1">
      <alignment horizontal="right" vertical="center" wrapText="1"/>
    </xf>
    <xf numFmtId="1" fontId="14" fillId="0" borderId="42" xfId="6" applyNumberFormat="1" applyFont="1" applyFill="1" applyBorder="1" applyAlignment="1">
      <alignment horizontal="center" vertical="center" wrapText="1"/>
    </xf>
    <xf numFmtId="1" fontId="15" fillId="5" borderId="9" xfId="6" applyNumberFormat="1" applyFont="1" applyFill="1" applyBorder="1" applyAlignment="1">
      <alignment horizontal="center" vertical="center" wrapText="1"/>
    </xf>
    <xf numFmtId="0" fontId="14" fillId="0" borderId="41" xfId="2" applyFont="1" applyFill="1" applyBorder="1" applyAlignment="1" applyProtection="1">
      <alignment horizontal="center" vertical="center"/>
    </xf>
    <xf numFmtId="4" fontId="15" fillId="5" borderId="9" xfId="6" applyNumberFormat="1" applyFont="1" applyFill="1" applyBorder="1" applyAlignment="1">
      <alignment horizontal="right" vertical="center" wrapText="1"/>
    </xf>
    <xf numFmtId="4" fontId="14" fillId="0" borderId="14" xfId="3" applyNumberFormat="1" applyFont="1" applyBorder="1" applyAlignment="1">
      <alignment horizontal="right" vertical="center" wrapText="1"/>
    </xf>
    <xf numFmtId="4" fontId="15" fillId="0" borderId="20" xfId="3" applyNumberFormat="1" applyFont="1" applyBorder="1" applyAlignment="1">
      <alignment horizontal="right" vertical="center" wrapText="1"/>
    </xf>
    <xf numFmtId="0" fontId="6" fillId="0" borderId="11" xfId="2" applyFont="1" applyFill="1" applyBorder="1" applyAlignment="1">
      <alignment vertical="center"/>
    </xf>
    <xf numFmtId="1" fontId="5" fillId="0" borderId="10" xfId="2" applyNumberFormat="1" applyFont="1" applyFill="1" applyBorder="1" applyAlignment="1" applyProtection="1">
      <alignment horizontal="center" vertical="center"/>
    </xf>
    <xf numFmtId="0" fontId="15" fillId="0" borderId="11" xfId="0" applyFont="1" applyFill="1" applyBorder="1" applyAlignment="1" applyProtection="1">
      <alignment vertical="center" wrapText="1"/>
    </xf>
    <xf numFmtId="4" fontId="15" fillId="0" borderId="25" xfId="6" applyNumberFormat="1" applyFont="1" applyFill="1" applyBorder="1" applyAlignment="1">
      <alignment horizontal="right" vertical="center" wrapText="1"/>
    </xf>
    <xf numFmtId="1" fontId="5" fillId="0" borderId="10" xfId="3" applyNumberFormat="1" applyFont="1" applyBorder="1" applyAlignment="1">
      <alignment horizontal="center" vertical="center" wrapText="1"/>
    </xf>
    <xf numFmtId="0" fontId="23" fillId="0" borderId="33" xfId="0" applyNumberFormat="1" applyFont="1" applyFill="1" applyBorder="1" applyAlignment="1" applyProtection="1">
      <alignment horizontal="left" vertical="center" wrapText="1"/>
    </xf>
    <xf numFmtId="1" fontId="22" fillId="0" borderId="35" xfId="2" applyNumberFormat="1" applyFont="1" applyBorder="1" applyAlignment="1" applyProtection="1">
      <alignment horizontal="left" vertical="center"/>
    </xf>
    <xf numFmtId="0" fontId="14" fillId="0" borderId="42" xfId="2" applyFont="1" applyBorder="1" applyAlignment="1" applyProtection="1">
      <alignment horizontal="center" vertical="center"/>
    </xf>
    <xf numFmtId="1" fontId="14" fillId="0" borderId="42" xfId="5" applyNumberFormat="1" applyFont="1" applyBorder="1" applyAlignment="1" applyProtection="1">
      <alignment horizontal="center" vertical="center" wrapText="1"/>
    </xf>
    <xf numFmtId="0" fontId="25" fillId="0" borderId="33" xfId="0" applyNumberFormat="1" applyFont="1" applyFill="1" applyBorder="1" applyAlignment="1" applyProtection="1">
      <alignment horizontal="left" vertical="center" wrapText="1"/>
    </xf>
    <xf numFmtId="4" fontId="15" fillId="0" borderId="41" xfId="5" applyNumberFormat="1" applyFont="1" applyBorder="1" applyAlignment="1" applyProtection="1">
      <alignment horizontal="center" vertical="center"/>
    </xf>
    <xf numFmtId="4" fontId="19" fillId="0" borderId="41" xfId="5" applyNumberFormat="1" applyFont="1" applyBorder="1" applyAlignment="1" applyProtection="1">
      <alignment horizontal="center" vertical="center"/>
    </xf>
    <xf numFmtId="1" fontId="20" fillId="0" borderId="41" xfId="6" applyNumberFormat="1" applyFont="1" applyFill="1" applyBorder="1" applyAlignment="1">
      <alignment horizontal="center" vertical="center" wrapText="1"/>
    </xf>
    <xf numFmtId="4" fontId="15" fillId="0" borderId="31" xfId="3" applyNumberFormat="1" applyFont="1" applyBorder="1" applyAlignment="1">
      <alignment horizontal="right" vertical="center" wrapText="1"/>
    </xf>
    <xf numFmtId="4" fontId="22" fillId="0" borderId="24" xfId="3" applyNumberFormat="1" applyFont="1" applyBorder="1" applyAlignment="1">
      <alignment horizontal="right" vertical="center" wrapText="1"/>
    </xf>
    <xf numFmtId="4" fontId="14" fillId="0" borderId="8" xfId="2" applyNumberFormat="1" applyFont="1" applyBorder="1" applyAlignment="1" applyProtection="1">
      <alignment horizontal="right" vertical="center" wrapText="1"/>
    </xf>
    <xf numFmtId="4" fontId="15" fillId="0" borderId="2" xfId="3" applyNumberFormat="1" applyFont="1" applyBorder="1" applyAlignment="1">
      <alignment horizontal="right" vertical="center" wrapText="1"/>
    </xf>
    <xf numFmtId="4" fontId="14" fillId="0" borderId="26" xfId="3" applyNumberFormat="1" applyFont="1" applyBorder="1" applyAlignment="1">
      <alignment horizontal="right" vertical="center" wrapText="1"/>
    </xf>
    <xf numFmtId="4" fontId="15" fillId="0" borderId="17" xfId="3" applyNumberFormat="1" applyFont="1" applyBorder="1" applyAlignment="1">
      <alignment horizontal="right" vertical="center" wrapText="1"/>
    </xf>
    <xf numFmtId="4" fontId="14" fillId="0" borderId="38" xfId="3" applyNumberFormat="1" applyFont="1" applyBorder="1" applyAlignment="1">
      <alignment horizontal="right" vertical="center" wrapText="1"/>
    </xf>
    <xf numFmtId="4" fontId="22" fillId="0" borderId="17" xfId="3" applyNumberFormat="1" applyFont="1" applyBorder="1" applyAlignment="1">
      <alignment horizontal="right" vertical="center" wrapText="1"/>
    </xf>
    <xf numFmtId="4" fontId="14" fillId="6" borderId="16" xfId="3" applyNumberFormat="1" applyFont="1" applyFill="1" applyBorder="1" applyAlignment="1">
      <alignment horizontal="right" vertical="center" wrapText="1"/>
    </xf>
    <xf numFmtId="4" fontId="15" fillId="0" borderId="10" xfId="3" applyNumberFormat="1" applyFont="1" applyBorder="1" applyAlignment="1">
      <alignment horizontal="right" vertical="center" wrapText="1"/>
    </xf>
    <xf numFmtId="4" fontId="15" fillId="5" borderId="10" xfId="6" applyNumberFormat="1" applyFont="1" applyFill="1" applyBorder="1" applyAlignment="1">
      <alignment horizontal="right" vertical="center" wrapText="1"/>
    </xf>
    <xf numFmtId="4" fontId="14" fillId="0" borderId="11" xfId="3" applyNumberFormat="1" applyFont="1" applyFill="1" applyBorder="1" applyAlignment="1">
      <alignment horizontal="right" vertical="center" wrapText="1"/>
    </xf>
    <xf numFmtId="4" fontId="14" fillId="0" borderId="11" xfId="1" applyNumberFormat="1" applyFont="1" applyFill="1" applyBorder="1" applyAlignment="1" applyProtection="1">
      <alignment horizontal="right" vertical="center" wrapText="1"/>
    </xf>
    <xf numFmtId="4" fontId="15" fillId="5" borderId="9" xfId="3" applyNumberFormat="1" applyFont="1" applyFill="1" applyBorder="1" applyAlignment="1">
      <alignment horizontal="right" vertical="center" wrapText="1"/>
    </xf>
    <xf numFmtId="4" fontId="14" fillId="0" borderId="10" xfId="3" applyNumberFormat="1" applyFont="1" applyFill="1" applyBorder="1" applyAlignment="1">
      <alignment horizontal="right" vertical="center" wrapText="1"/>
    </xf>
    <xf numFmtId="4" fontId="14" fillId="0" borderId="9" xfId="1" applyNumberFormat="1" applyFont="1" applyFill="1" applyBorder="1" applyAlignment="1" applyProtection="1">
      <alignment horizontal="right" vertical="center" wrapText="1"/>
    </xf>
    <xf numFmtId="4" fontId="15" fillId="2" borderId="15" xfId="2" applyNumberFormat="1" applyFont="1" applyFill="1" applyBorder="1" applyAlignment="1" applyProtection="1">
      <alignment horizontal="right" vertical="center" wrapText="1"/>
    </xf>
    <xf numFmtId="4" fontId="15" fillId="5" borderId="2" xfId="6" applyNumberFormat="1" applyFont="1" applyFill="1" applyBorder="1" applyAlignment="1">
      <alignment horizontal="right" vertical="center" wrapText="1"/>
    </xf>
    <xf numFmtId="4" fontId="19" fillId="0" borderId="10" xfId="2" applyNumberFormat="1" applyFont="1" applyBorder="1" applyAlignment="1" applyProtection="1">
      <alignment horizontal="right" vertical="center" wrapText="1"/>
    </xf>
    <xf numFmtId="4" fontId="14" fillId="0" borderId="7" xfId="1" applyNumberFormat="1" applyFont="1" applyFill="1" applyBorder="1" applyAlignment="1" applyProtection="1">
      <alignment horizontal="right" vertical="center" wrapText="1"/>
    </xf>
    <xf numFmtId="4" fontId="14" fillId="0" borderId="7" xfId="2" applyNumberFormat="1" applyFont="1" applyBorder="1" applyAlignment="1" applyProtection="1">
      <alignment horizontal="right" vertical="center"/>
    </xf>
    <xf numFmtId="4" fontId="19" fillId="0" borderId="41" xfId="3" applyNumberFormat="1" applyFont="1" applyBorder="1" applyAlignment="1">
      <alignment horizontal="right" vertical="center" wrapText="1"/>
    </xf>
    <xf numFmtId="4" fontId="32" fillId="0" borderId="23" xfId="3" applyNumberFormat="1" applyFont="1" applyBorder="1" applyAlignment="1">
      <alignment horizontal="right" vertical="center" wrapText="1"/>
    </xf>
    <xf numFmtId="4" fontId="2" fillId="0" borderId="24" xfId="2" applyNumberFormat="1" applyFont="1" applyBorder="1" applyAlignment="1" applyProtection="1">
      <alignment horizontal="right" vertical="center" wrapText="1"/>
    </xf>
    <xf numFmtId="4" fontId="2" fillId="0" borderId="23" xfId="2" applyNumberFormat="1" applyFont="1" applyBorder="1" applyAlignment="1" applyProtection="1">
      <alignment horizontal="right" vertical="center" wrapText="1"/>
    </xf>
    <xf numFmtId="4" fontId="14" fillId="0" borderId="42" xfId="2" applyNumberFormat="1" applyFont="1" applyBorder="1" applyAlignment="1" applyProtection="1">
      <alignment horizontal="right" vertical="center"/>
    </xf>
    <xf numFmtId="4" fontId="14" fillId="0" borderId="39" xfId="3" applyNumberFormat="1" applyFont="1" applyBorder="1" applyAlignment="1">
      <alignment horizontal="right" vertical="center" wrapText="1"/>
    </xf>
    <xf numFmtId="4" fontId="19" fillId="0" borderId="2" xfId="6" applyNumberFormat="1" applyFont="1" applyFill="1" applyBorder="1" applyAlignment="1">
      <alignment horizontal="right" vertical="center" wrapText="1"/>
    </xf>
    <xf numFmtId="4" fontId="14" fillId="0" borderId="24" xfId="6" applyNumberFormat="1" applyFont="1" applyFill="1" applyBorder="1" applyAlignment="1">
      <alignment horizontal="right" vertical="center" wrapText="1"/>
    </xf>
    <xf numFmtId="2" fontId="14" fillId="0" borderId="41" xfId="6" applyNumberFormat="1" applyFont="1" applyFill="1" applyBorder="1" applyAlignment="1">
      <alignment horizontal="right" vertical="center" wrapText="1"/>
    </xf>
    <xf numFmtId="0" fontId="14" fillId="0" borderId="23" xfId="3" applyFont="1" applyBorder="1" applyAlignment="1">
      <alignment horizontal="right" vertical="center" wrapText="1"/>
    </xf>
    <xf numFmtId="4" fontId="19" fillId="0" borderId="24" xfId="6" applyNumberFormat="1" applyFont="1" applyFill="1" applyBorder="1" applyAlignment="1">
      <alignment horizontal="right" vertical="center" wrapText="1"/>
    </xf>
    <xf numFmtId="4" fontId="14" fillId="0" borderId="2" xfId="6" applyNumberFormat="1" applyFont="1" applyFill="1" applyBorder="1" applyAlignment="1">
      <alignment horizontal="right" vertical="center" wrapText="1"/>
    </xf>
    <xf numFmtId="4" fontId="14" fillId="0" borderId="17" xfId="6" applyNumberFormat="1" applyFont="1" applyFill="1" applyBorder="1" applyAlignment="1">
      <alignment horizontal="right" vertical="center" wrapText="1"/>
    </xf>
    <xf numFmtId="4" fontId="15" fillId="0" borderId="24" xfId="3" applyNumberFormat="1" applyFont="1" applyBorder="1" applyAlignment="1">
      <alignment horizontal="right" vertical="center" wrapText="1"/>
    </xf>
    <xf numFmtId="0" fontId="19" fillId="0" borderId="34" xfId="3" applyFont="1" applyBorder="1" applyAlignment="1">
      <alignment horizontal="right" vertical="center" wrapText="1"/>
    </xf>
    <xf numFmtId="0" fontId="19" fillId="0" borderId="35" xfId="3" applyFont="1" applyBorder="1" applyAlignment="1">
      <alignment horizontal="right" vertical="center" wrapText="1"/>
    </xf>
    <xf numFmtId="4" fontId="14" fillId="0" borderId="31" xfId="2" applyNumberFormat="1" applyFont="1" applyBorder="1" applyAlignment="1" applyProtection="1">
      <alignment horizontal="right" vertical="center" wrapText="1"/>
    </xf>
    <xf numFmtId="4" fontId="15" fillId="0" borderId="10" xfId="2" applyNumberFormat="1" applyFont="1" applyBorder="1" applyAlignment="1" applyProtection="1">
      <alignment horizontal="right" vertical="center" wrapText="1"/>
    </xf>
    <xf numFmtId="4" fontId="14" fillId="0" borderId="0" xfId="5" applyNumberFormat="1" applyFont="1" applyBorder="1" applyAlignment="1">
      <alignment horizontal="right" vertical="center"/>
    </xf>
    <xf numFmtId="4" fontId="14" fillId="0" borderId="10" xfId="6" applyNumberFormat="1" applyFont="1" applyFill="1" applyBorder="1" applyAlignment="1">
      <alignment horizontal="right" vertical="center" wrapText="1"/>
    </xf>
    <xf numFmtId="4" fontId="15" fillId="2" borderId="8" xfId="5" applyNumberFormat="1" applyFont="1" applyFill="1" applyBorder="1" applyAlignment="1" applyProtection="1">
      <alignment horizontal="right" vertical="center"/>
    </xf>
    <xf numFmtId="4" fontId="14" fillId="0" borderId="10" xfId="5" applyNumberFormat="1" applyFont="1" applyFill="1" applyBorder="1" applyAlignment="1" applyProtection="1">
      <alignment horizontal="right" vertical="center" wrapText="1"/>
    </xf>
    <xf numFmtId="4" fontId="11" fillId="4" borderId="5" xfId="5" applyNumberFormat="1" applyFont="1" applyFill="1" applyBorder="1" applyAlignment="1" applyProtection="1">
      <alignment horizontal="right" vertical="center"/>
    </xf>
    <xf numFmtId="4" fontId="14" fillId="0" borderId="41" xfId="2" applyNumberFormat="1" applyFont="1" applyBorder="1" applyAlignment="1" applyProtection="1">
      <alignment horizontal="right" vertical="center" wrapText="1"/>
    </xf>
    <xf numFmtId="0" fontId="15" fillId="0" borderId="35" xfId="3" applyFont="1" applyBorder="1" applyAlignment="1">
      <alignment horizontal="left" vertical="center" wrapText="1"/>
    </xf>
    <xf numFmtId="4" fontId="14" fillId="0" borderId="54" xfId="3" applyNumberFormat="1" applyFont="1" applyBorder="1" applyAlignment="1">
      <alignment horizontal="right" vertical="center" wrapText="1"/>
    </xf>
    <xf numFmtId="1" fontId="5" fillId="0" borderId="41" xfId="2" applyNumberFormat="1" applyFont="1" applyFill="1" applyBorder="1" applyAlignment="1" applyProtection="1">
      <alignment horizontal="center" vertical="center"/>
    </xf>
    <xf numFmtId="0" fontId="14" fillId="0" borderId="0" xfId="3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vertical="center" wrapText="1"/>
    </xf>
    <xf numFmtId="4" fontId="15" fillId="0" borderId="42" xfId="1" applyNumberFormat="1" applyFont="1" applyFill="1" applyBorder="1" applyAlignment="1" applyProtection="1">
      <alignment horizontal="right" vertical="center" wrapText="1"/>
    </xf>
    <xf numFmtId="4" fontId="14" fillId="0" borderId="11" xfId="3" applyNumberFormat="1" applyFont="1" applyFill="1" applyBorder="1" applyAlignment="1">
      <alignment horizontal="left" vertical="center" wrapText="1"/>
    </xf>
    <xf numFmtId="4" fontId="32" fillId="0" borderId="9" xfId="3" applyNumberFormat="1" applyFont="1" applyBorder="1" applyAlignment="1">
      <alignment horizontal="right" vertical="center" wrapText="1"/>
    </xf>
    <xf numFmtId="0" fontId="15" fillId="0" borderId="0" xfId="6" applyFont="1" applyFill="1" applyBorder="1" applyAlignment="1">
      <alignment horizontal="left" vertical="center" wrapText="1"/>
    </xf>
    <xf numFmtId="0" fontId="15" fillId="0" borderId="35" xfId="6" applyFont="1" applyFill="1" applyBorder="1" applyAlignment="1">
      <alignment horizontal="left" vertical="center" wrapText="1"/>
    </xf>
    <xf numFmtId="0" fontId="19" fillId="0" borderId="42" xfId="6" applyFont="1" applyFill="1" applyBorder="1" applyAlignment="1">
      <alignment horizontal="right" vertical="center" wrapText="1"/>
    </xf>
    <xf numFmtId="0" fontId="15" fillId="0" borderId="11" xfId="3" applyFont="1" applyBorder="1" applyAlignment="1">
      <alignment horizontal="left" vertical="center" wrapText="1"/>
    </xf>
    <xf numFmtId="2" fontId="14" fillId="0" borderId="53" xfId="3" quotePrefix="1" applyNumberFormat="1" applyFont="1" applyBorder="1" applyAlignment="1">
      <alignment horizontal="right" vertical="center" wrapText="1"/>
    </xf>
    <xf numFmtId="4" fontId="15" fillId="0" borderId="0" xfId="3" applyNumberFormat="1" applyFont="1" applyBorder="1" applyAlignment="1">
      <alignment horizontal="left" vertical="center" wrapText="1"/>
    </xf>
    <xf numFmtId="4" fontId="15" fillId="0" borderId="41" xfId="3" applyNumberFormat="1" applyFont="1" applyBorder="1" applyAlignment="1">
      <alignment horizontal="right" vertical="center" wrapText="1"/>
    </xf>
    <xf numFmtId="1" fontId="14" fillId="0" borderId="8" xfId="5" applyNumberFormat="1" applyFont="1" applyBorder="1" applyAlignment="1" applyProtection="1">
      <alignment horizontal="center" vertical="center" wrapText="1"/>
    </xf>
    <xf numFmtId="1" fontId="13" fillId="4" borderId="55" xfId="5" applyNumberFormat="1" applyFont="1" applyFill="1" applyBorder="1" applyAlignment="1" applyProtection="1">
      <alignment horizontal="center" vertical="center"/>
    </xf>
    <xf numFmtId="4" fontId="12" fillId="4" borderId="56" xfId="5" applyNumberFormat="1" applyFont="1" applyFill="1" applyBorder="1" applyAlignment="1" applyProtection="1">
      <alignment horizontal="center" vertical="center"/>
    </xf>
    <xf numFmtId="4" fontId="11" fillId="4" borderId="56" xfId="5" applyNumberFormat="1" applyFont="1" applyFill="1" applyBorder="1" applyAlignment="1" applyProtection="1">
      <alignment horizontal="center" vertical="center"/>
    </xf>
    <xf numFmtId="4" fontId="11" fillId="4" borderId="57" xfId="5" applyNumberFormat="1" applyFont="1" applyFill="1" applyBorder="1" applyAlignment="1" applyProtection="1">
      <alignment horizontal="right" vertical="center"/>
    </xf>
    <xf numFmtId="0" fontId="14" fillId="0" borderId="41" xfId="0" applyFont="1" applyFill="1" applyBorder="1" applyAlignment="1" applyProtection="1">
      <alignment horizontal="center" vertical="center"/>
    </xf>
    <xf numFmtId="0" fontId="14" fillId="0" borderId="25" xfId="5" applyFont="1" applyBorder="1" applyAlignment="1">
      <alignment horizontal="left" vertical="center" wrapText="1"/>
    </xf>
    <xf numFmtId="4" fontId="14" fillId="0" borderId="24" xfId="5" applyNumberFormat="1" applyFont="1" applyBorder="1" applyAlignment="1">
      <alignment horizontal="right" vertical="center" wrapText="1"/>
    </xf>
    <xf numFmtId="4" fontId="14" fillId="0" borderId="23" xfId="5" applyNumberFormat="1" applyFont="1" applyBorder="1" applyAlignment="1">
      <alignment horizontal="right" vertical="center" wrapText="1"/>
    </xf>
    <xf numFmtId="0" fontId="14" fillId="0" borderId="41" xfId="5" applyFont="1" applyBorder="1" applyAlignment="1" applyProtection="1">
      <alignment horizontal="center" vertical="center"/>
    </xf>
    <xf numFmtId="1" fontId="5" fillId="0" borderId="58" xfId="6" applyNumberFormat="1" applyFont="1" applyFill="1" applyBorder="1" applyAlignment="1">
      <alignment horizontal="center" vertical="center" wrapText="1"/>
    </xf>
    <xf numFmtId="0" fontId="14" fillId="0" borderId="59" xfId="6" applyFont="1" applyFill="1" applyBorder="1" applyAlignment="1">
      <alignment horizontal="center" vertical="center" wrapText="1"/>
    </xf>
    <xf numFmtId="0" fontId="14" fillId="0" borderId="59" xfId="6" applyFont="1" applyFill="1" applyBorder="1" applyAlignment="1">
      <alignment horizontal="left" vertical="center" wrapText="1"/>
    </xf>
    <xf numFmtId="4" fontId="14" fillId="0" borderId="58" xfId="6" applyNumberFormat="1" applyFont="1" applyFill="1" applyBorder="1" applyAlignment="1">
      <alignment horizontal="right" vertical="center" wrapText="1"/>
    </xf>
    <xf numFmtId="4" fontId="14" fillId="0" borderId="60" xfId="3" applyNumberFormat="1" applyFont="1" applyBorder="1" applyAlignment="1">
      <alignment horizontal="right" vertical="center" wrapText="1"/>
    </xf>
    <xf numFmtId="4" fontId="14" fillId="0" borderId="58" xfId="3" applyNumberFormat="1" applyFont="1" applyBorder="1" applyAlignment="1">
      <alignment horizontal="right" vertical="center" wrapText="1"/>
    </xf>
    <xf numFmtId="1" fontId="5" fillId="0" borderId="62" xfId="6" applyNumberFormat="1" applyFont="1" applyFill="1" applyBorder="1" applyAlignment="1">
      <alignment horizontal="center" vertical="center" wrapText="1"/>
    </xf>
    <xf numFmtId="4" fontId="14" fillId="0" borderId="61" xfId="3" applyNumberFormat="1" applyFont="1" applyBorder="1" applyAlignment="1">
      <alignment horizontal="right" vertical="center" wrapText="1"/>
    </xf>
    <xf numFmtId="0" fontId="5" fillId="0" borderId="58" xfId="6" applyNumberFormat="1" applyFont="1" applyFill="1" applyBorder="1" applyAlignment="1">
      <alignment horizontal="center" vertical="center" wrapText="1"/>
    </xf>
    <xf numFmtId="4" fontId="14" fillId="0" borderId="59" xfId="3" applyNumberFormat="1" applyFont="1" applyBorder="1" applyAlignment="1">
      <alignment horizontal="left" vertical="center" wrapText="1"/>
    </xf>
    <xf numFmtId="4" fontId="5" fillId="0" borderId="0" xfId="5" applyNumberFormat="1" applyFont="1" applyBorder="1" applyAlignment="1">
      <alignment vertical="center"/>
    </xf>
    <xf numFmtId="1" fontId="5" fillId="0" borderId="58" xfId="3" applyNumberFormat="1" applyFont="1" applyBorder="1" applyAlignment="1">
      <alignment horizontal="center" vertical="center" wrapText="1"/>
    </xf>
    <xf numFmtId="4" fontId="14" fillId="0" borderId="59" xfId="3" applyNumberFormat="1" applyFont="1" applyBorder="1" applyAlignment="1">
      <alignment horizontal="center" vertical="center" wrapText="1"/>
    </xf>
    <xf numFmtId="0" fontId="14" fillId="0" borderId="41" xfId="0" applyFont="1" applyBorder="1" applyAlignment="1" applyProtection="1">
      <alignment horizontal="center" vertical="center"/>
    </xf>
    <xf numFmtId="1" fontId="14" fillId="0" borderId="42" xfId="0" applyNumberFormat="1" applyFont="1" applyBorder="1" applyAlignment="1" applyProtection="1">
      <alignment horizontal="center" vertical="center" wrapText="1"/>
    </xf>
    <xf numFmtId="1" fontId="5" fillId="0" borderId="58" xfId="0" applyNumberFormat="1" applyFont="1" applyFill="1" applyBorder="1" applyAlignment="1" applyProtection="1">
      <alignment horizontal="center" vertical="center"/>
    </xf>
    <xf numFmtId="4" fontId="14" fillId="0" borderId="59" xfId="6" applyNumberFormat="1" applyFont="1" applyFill="1" applyBorder="1" applyAlignment="1">
      <alignment horizontal="center" vertical="center" wrapText="1"/>
    </xf>
    <xf numFmtId="0" fontId="14" fillId="0" borderId="64" xfId="0" applyNumberFormat="1" applyFont="1" applyFill="1" applyBorder="1" applyAlignment="1" applyProtection="1">
      <alignment horizontal="left" vertical="center" wrapText="1"/>
    </xf>
    <xf numFmtId="4" fontId="14" fillId="0" borderId="58" xfId="3" applyNumberFormat="1" applyFont="1" applyBorder="1" applyAlignment="1">
      <alignment horizontal="right" vertical="center"/>
    </xf>
    <xf numFmtId="4" fontId="14" fillId="0" borderId="60" xfId="3" applyNumberFormat="1" applyFont="1" applyBorder="1" applyAlignment="1">
      <alignment horizontal="right" vertical="center"/>
    </xf>
    <xf numFmtId="1" fontId="5" fillId="0" borderId="62" xfId="2" applyNumberFormat="1" applyFont="1" applyBorder="1" applyAlignment="1" applyProtection="1">
      <alignment horizontal="center" vertical="center"/>
    </xf>
    <xf numFmtId="0" fontId="14" fillId="0" borderId="42" xfId="5" applyFont="1" applyBorder="1" applyAlignment="1" applyProtection="1">
      <alignment horizontal="center" vertical="center"/>
    </xf>
    <xf numFmtId="0" fontId="19" fillId="0" borderId="42" xfId="5" applyFont="1" applyBorder="1" applyAlignment="1" applyProtection="1">
      <alignment horizontal="center" vertical="center"/>
    </xf>
    <xf numFmtId="0" fontId="15" fillId="0" borderId="42" xfId="2" applyFont="1" applyBorder="1" applyAlignment="1" applyProtection="1">
      <alignment horizontal="center" vertical="center"/>
    </xf>
    <xf numFmtId="4" fontId="14" fillId="0" borderId="42" xfId="5" applyNumberFormat="1" applyFont="1" applyBorder="1" applyAlignment="1" applyProtection="1">
      <alignment horizontal="center" vertical="center"/>
    </xf>
    <xf numFmtId="4" fontId="14" fillId="0" borderId="42" xfId="5" applyNumberFormat="1" applyFont="1" applyBorder="1" applyAlignment="1" applyProtection="1">
      <alignment vertical="center"/>
    </xf>
    <xf numFmtId="0" fontId="2" fillId="0" borderId="42" xfId="2" applyFont="1" applyBorder="1" applyAlignment="1" applyProtection="1">
      <alignment vertical="center"/>
    </xf>
    <xf numFmtId="0" fontId="15" fillId="2" borderId="13" xfId="4" applyFont="1" applyBorder="1" applyAlignment="1">
      <alignment horizontal="center" vertical="center" wrapText="1"/>
    </xf>
    <xf numFmtId="4" fontId="14" fillId="0" borderId="58" xfId="2" applyNumberFormat="1" applyFont="1" applyBorder="1" applyAlignment="1" applyProtection="1">
      <alignment horizontal="right" vertical="center" wrapText="1"/>
    </xf>
    <xf numFmtId="4" fontId="14" fillId="0" borderId="60" xfId="2" applyNumberFormat="1" applyFont="1" applyBorder="1" applyAlignment="1" applyProtection="1">
      <alignment horizontal="right" vertical="center"/>
    </xf>
    <xf numFmtId="0" fontId="14" fillId="0" borderId="63" xfId="2" applyFont="1" applyBorder="1" applyAlignment="1" applyProtection="1">
      <alignment horizontal="center" vertical="center"/>
    </xf>
    <xf numFmtId="4" fontId="14" fillId="0" borderId="62" xfId="2" applyNumberFormat="1" applyFont="1" applyBorder="1" applyAlignment="1" applyProtection="1">
      <alignment horizontal="right" vertical="center" wrapText="1"/>
    </xf>
    <xf numFmtId="4" fontId="14" fillId="0" borderId="61" xfId="2" applyNumberFormat="1" applyFont="1" applyBorder="1" applyAlignment="1" applyProtection="1">
      <alignment horizontal="right" vertical="center" wrapText="1"/>
    </xf>
    <xf numFmtId="1" fontId="5" fillId="0" borderId="58" xfId="2" applyNumberFormat="1" applyFont="1" applyBorder="1" applyAlignment="1" applyProtection="1">
      <alignment horizontal="center" vertical="center"/>
    </xf>
    <xf numFmtId="1" fontId="5" fillId="0" borderId="41" xfId="2" applyNumberFormat="1" applyFont="1" applyBorder="1" applyAlignment="1" applyProtection="1">
      <alignment horizontal="center" vertical="center"/>
    </xf>
    <xf numFmtId="4" fontId="14" fillId="0" borderId="60" xfId="2" applyNumberFormat="1" applyFont="1" applyBorder="1" applyAlignment="1" applyProtection="1">
      <alignment horizontal="right" vertical="center" wrapText="1"/>
    </xf>
    <xf numFmtId="0" fontId="14" fillId="0" borderId="59" xfId="2" applyFont="1" applyBorder="1" applyAlignment="1" applyProtection="1">
      <alignment horizontal="left" vertical="center" wrapText="1"/>
    </xf>
    <xf numFmtId="4" fontId="14" fillId="0" borderId="41" xfId="5" applyNumberFormat="1" applyFont="1" applyBorder="1" applyAlignment="1">
      <alignment horizontal="right" vertical="center" wrapText="1"/>
    </xf>
    <xf numFmtId="4" fontId="14" fillId="0" borderId="42" xfId="5" applyNumberFormat="1" applyFont="1" applyBorder="1" applyAlignment="1">
      <alignment horizontal="right" vertical="center" wrapText="1"/>
    </xf>
    <xf numFmtId="4" fontId="15" fillId="0" borderId="60" xfId="6" applyNumberFormat="1" applyFont="1" applyFill="1" applyBorder="1" applyAlignment="1">
      <alignment horizontal="right" vertical="center" wrapText="1"/>
    </xf>
    <xf numFmtId="0" fontId="35" fillId="0" borderId="59" xfId="0" applyFont="1" applyBorder="1" applyAlignment="1">
      <alignment horizontal="justify" vertical="center" wrapText="1"/>
    </xf>
    <xf numFmtId="0" fontId="35" fillId="0" borderId="63" xfId="0" applyFont="1" applyBorder="1" applyAlignment="1">
      <alignment horizontal="left" vertical="center" wrapText="1"/>
    </xf>
    <xf numFmtId="0" fontId="14" fillId="0" borderId="59" xfId="2" applyFont="1" applyBorder="1" applyAlignment="1" applyProtection="1">
      <alignment horizontal="center" vertical="center"/>
    </xf>
    <xf numFmtId="1" fontId="20" fillId="0" borderId="41" xfId="2" applyNumberFormat="1" applyFont="1" applyBorder="1" applyAlignment="1" applyProtection="1">
      <alignment horizontal="center" vertical="center"/>
    </xf>
    <xf numFmtId="0" fontId="14" fillId="0" borderId="63" xfId="6" applyFont="1" applyFill="1" applyBorder="1" applyAlignment="1">
      <alignment horizontal="left" vertical="center" wrapText="1"/>
    </xf>
    <xf numFmtId="0" fontId="14" fillId="0" borderId="25" xfId="6" applyFont="1" applyFill="1" applyBorder="1" applyAlignment="1">
      <alignment horizontal="justify" vertical="center" wrapText="1"/>
    </xf>
    <xf numFmtId="0" fontId="14" fillId="0" borderId="33" xfId="2" applyFont="1" applyBorder="1" applyAlignment="1" applyProtection="1">
      <alignment horizontal="left" vertical="center" wrapText="1"/>
    </xf>
    <xf numFmtId="0" fontId="19" fillId="0" borderId="0" xfId="2" applyFont="1" applyBorder="1" applyAlignment="1" applyProtection="1">
      <alignment vertical="center" wrapText="1"/>
    </xf>
    <xf numFmtId="0" fontId="19" fillId="0" borderId="65" xfId="2" applyFont="1" applyBorder="1" applyAlignment="1" applyProtection="1">
      <alignment vertical="center" wrapText="1"/>
    </xf>
    <xf numFmtId="0" fontId="19" fillId="0" borderId="0" xfId="2" applyFont="1" applyFill="1" applyBorder="1" applyAlignment="1" applyProtection="1">
      <alignment horizontal="center" vertical="center"/>
    </xf>
    <xf numFmtId="4" fontId="19" fillId="0" borderId="42" xfId="3" applyNumberFormat="1" applyFont="1" applyFill="1" applyBorder="1" applyAlignment="1">
      <alignment horizontal="right" vertical="center" wrapText="1"/>
    </xf>
    <xf numFmtId="0" fontId="4" fillId="0" borderId="59" xfId="2" applyFont="1" applyBorder="1" applyAlignment="1">
      <alignment horizontal="center" vertical="center"/>
    </xf>
    <xf numFmtId="4" fontId="14" fillId="0" borderId="41" xfId="3" quotePrefix="1" applyNumberFormat="1" applyFont="1" applyBorder="1" applyAlignment="1">
      <alignment horizontal="right" vertical="center" wrapText="1"/>
    </xf>
    <xf numFmtId="4" fontId="15" fillId="2" borderId="66" xfId="5" applyNumberFormat="1" applyFont="1" applyFill="1" applyBorder="1" applyAlignment="1" applyProtection="1">
      <alignment horizontal="right" vertical="center"/>
    </xf>
    <xf numFmtId="4" fontId="22" fillId="0" borderId="41" xfId="3" applyNumberFormat="1" applyFont="1" applyBorder="1" applyAlignment="1">
      <alignment horizontal="right" vertical="center" wrapText="1"/>
    </xf>
    <xf numFmtId="4" fontId="14" fillId="6" borderId="42" xfId="3" applyNumberFormat="1" applyFont="1" applyFill="1" applyBorder="1" applyAlignment="1">
      <alignment horizontal="right" vertical="center" wrapText="1"/>
    </xf>
    <xf numFmtId="0" fontId="14" fillId="0" borderId="33" xfId="6" applyFont="1" applyFill="1" applyBorder="1" applyAlignment="1">
      <alignment horizontal="left" vertical="center" wrapText="1"/>
    </xf>
    <xf numFmtId="0" fontId="19" fillId="0" borderId="41" xfId="2" applyFont="1" applyBorder="1" applyAlignment="1" applyProtection="1">
      <alignment horizontal="left" vertical="center"/>
    </xf>
    <xf numFmtId="0" fontId="19" fillId="0" borderId="0" xfId="2" quotePrefix="1" applyFont="1" applyBorder="1" applyAlignment="1" applyProtection="1">
      <alignment horizontal="center" vertical="center"/>
    </xf>
    <xf numFmtId="0" fontId="6" fillId="0" borderId="0" xfId="2" applyFont="1" applyBorder="1" applyAlignment="1">
      <alignment horizontal="left" vertical="center"/>
    </xf>
    <xf numFmtId="1" fontId="20" fillId="0" borderId="29" xfId="2" applyNumberFormat="1" applyFont="1" applyBorder="1" applyAlignment="1" applyProtection="1">
      <alignment horizontal="center" vertical="center"/>
    </xf>
    <xf numFmtId="0" fontId="19" fillId="0" borderId="27" xfId="2" applyFont="1" applyBorder="1" applyAlignment="1" applyProtection="1">
      <alignment horizontal="center" vertical="center"/>
    </xf>
    <xf numFmtId="0" fontId="19" fillId="0" borderId="63" xfId="6" applyFont="1" applyFill="1" applyBorder="1" applyAlignment="1">
      <alignment horizontal="center" vertical="center" wrapText="1"/>
    </xf>
    <xf numFmtId="4" fontId="19" fillId="0" borderId="62" xfId="6" applyNumberFormat="1" applyFont="1" applyFill="1" applyBorder="1" applyAlignment="1">
      <alignment horizontal="right" vertical="center" wrapText="1"/>
    </xf>
    <xf numFmtId="4" fontId="19" fillId="0" borderId="61" xfId="6" applyNumberFormat="1" applyFont="1" applyFill="1" applyBorder="1" applyAlignment="1">
      <alignment horizontal="right" vertical="center" wrapText="1"/>
    </xf>
    <xf numFmtId="4" fontId="33" fillId="0" borderId="2" xfId="3" applyNumberFormat="1" applyFont="1" applyBorder="1" applyAlignment="1">
      <alignment horizontal="right" vertical="center" wrapText="1"/>
    </xf>
    <xf numFmtId="4" fontId="33" fillId="0" borderId="1" xfId="3" applyNumberFormat="1" applyFont="1" applyBorder="1" applyAlignment="1">
      <alignment horizontal="right" vertical="center" wrapText="1"/>
    </xf>
    <xf numFmtId="1" fontId="14" fillId="0" borderId="42" xfId="5" applyNumberFormat="1" applyFont="1" applyFill="1" applyBorder="1" applyAlignment="1" applyProtection="1">
      <alignment horizontal="center" vertical="center" wrapText="1"/>
    </xf>
    <xf numFmtId="4" fontId="19" fillId="0" borderId="28" xfId="3" applyNumberFormat="1" applyFont="1" applyBorder="1" applyAlignment="1">
      <alignment horizontal="right" vertical="center" wrapText="1"/>
    </xf>
    <xf numFmtId="0" fontId="25" fillId="0" borderId="59" xfId="0" applyNumberFormat="1" applyFont="1" applyFill="1" applyBorder="1" applyAlignment="1" applyProtection="1">
      <alignment horizontal="left" vertical="center" wrapText="1"/>
    </xf>
    <xf numFmtId="1" fontId="5" fillId="3" borderId="58" xfId="2" applyNumberFormat="1" applyFont="1" applyFill="1" applyBorder="1" applyAlignment="1" applyProtection="1">
      <alignment horizontal="center" vertical="center"/>
    </xf>
    <xf numFmtId="0" fontId="14" fillId="3" borderId="59" xfId="2" applyFont="1" applyFill="1" applyBorder="1" applyAlignment="1" applyProtection="1">
      <alignment horizontal="center" vertical="center"/>
    </xf>
    <xf numFmtId="3" fontId="5" fillId="3" borderId="58" xfId="3" applyNumberFormat="1" applyFont="1" applyFill="1" applyBorder="1" applyAlignment="1">
      <alignment horizontal="center" vertical="center" wrapText="1"/>
    </xf>
    <xf numFmtId="4" fontId="14" fillId="3" borderId="25" xfId="3" applyNumberFormat="1" applyFont="1" applyFill="1" applyBorder="1" applyAlignment="1">
      <alignment vertical="center" wrapText="1"/>
    </xf>
    <xf numFmtId="0" fontId="15" fillId="0" borderId="41" xfId="4" applyFont="1" applyFill="1" applyBorder="1" applyAlignment="1">
      <alignment horizontal="center" vertical="center" wrapText="1"/>
    </xf>
    <xf numFmtId="0" fontId="15" fillId="6" borderId="41" xfId="6" applyFont="1" applyFill="1" applyBorder="1" applyAlignment="1">
      <alignment horizontal="center" vertical="center" wrapText="1"/>
    </xf>
    <xf numFmtId="0" fontId="15" fillId="0" borderId="41" xfId="2" applyFont="1" applyBorder="1" applyAlignment="1" applyProtection="1">
      <alignment horizontal="center" vertical="center"/>
    </xf>
    <xf numFmtId="0" fontId="15" fillId="6" borderId="41" xfId="2" applyFont="1" applyFill="1" applyBorder="1" applyAlignment="1" applyProtection="1">
      <alignment horizontal="center" vertical="center"/>
    </xf>
    <xf numFmtId="0" fontId="14" fillId="0" borderId="41" xfId="2" applyFont="1" applyBorder="1" applyAlignment="1">
      <alignment vertical="center"/>
    </xf>
    <xf numFmtId="0" fontId="14" fillId="0" borderId="41" xfId="0" applyFont="1" applyBorder="1" applyAlignment="1">
      <alignment vertical="center"/>
    </xf>
    <xf numFmtId="0" fontId="15" fillId="6" borderId="41" xfId="6" applyFont="1" applyFill="1" applyBorder="1" applyAlignment="1">
      <alignment horizontal="left" vertical="center" wrapText="1"/>
    </xf>
    <xf numFmtId="0" fontId="15" fillId="0" borderId="41" xfId="6" applyFont="1" applyFill="1" applyBorder="1" applyAlignment="1">
      <alignment horizontal="left" vertical="center" wrapText="1"/>
    </xf>
    <xf numFmtId="4" fontId="15" fillId="0" borderId="41" xfId="5" applyNumberFormat="1" applyFont="1" applyFill="1" applyBorder="1" applyAlignment="1" applyProtection="1">
      <alignment horizontal="center" vertical="center"/>
    </xf>
    <xf numFmtId="0" fontId="15" fillId="6" borderId="41" xfId="0" applyFont="1" applyFill="1" applyBorder="1" applyAlignment="1" applyProtection="1">
      <alignment horizontal="center" vertical="center"/>
    </xf>
    <xf numFmtId="4" fontId="10" fillId="0" borderId="41" xfId="4" applyNumberFormat="1" applyFont="1" applyFill="1" applyBorder="1" applyAlignment="1">
      <alignment horizontal="center" vertical="center" wrapText="1"/>
    </xf>
    <xf numFmtId="4" fontId="4" fillId="0" borderId="41" xfId="2" applyNumberFormat="1" applyFont="1" applyBorder="1" applyAlignment="1" applyProtection="1">
      <alignment horizontal="center" vertical="center"/>
    </xf>
    <xf numFmtId="0" fontId="4" fillId="0" borderId="41" xfId="2" applyFont="1" applyBorder="1" applyAlignment="1" applyProtection="1">
      <alignment horizontal="center" vertical="center"/>
    </xf>
    <xf numFmtId="0" fontId="2" fillId="0" borderId="41" xfId="2" applyFont="1" applyBorder="1" applyAlignment="1" applyProtection="1">
      <alignment horizontal="center" vertical="center"/>
    </xf>
    <xf numFmtId="0" fontId="57" fillId="0" borderId="0" xfId="2" applyFont="1" applyFill="1" applyAlignment="1">
      <alignment horizontal="center" vertical="center"/>
    </xf>
    <xf numFmtId="0" fontId="56" fillId="0" borderId="0" xfId="2" applyFont="1" applyBorder="1" applyAlignment="1">
      <alignment horizontal="center" vertical="center"/>
    </xf>
    <xf numFmtId="0" fontId="56" fillId="0" borderId="0" xfId="2" applyFont="1" applyAlignment="1">
      <alignment horizontal="center" vertical="center"/>
    </xf>
    <xf numFmtId="0" fontId="56" fillId="0" borderId="0" xfId="5" applyFont="1" applyAlignment="1">
      <alignment horizontal="center" vertical="center"/>
    </xf>
    <xf numFmtId="0" fontId="57" fillId="0" borderId="0" xfId="2" applyFont="1" applyAlignment="1">
      <alignment horizontal="center" vertical="center"/>
    </xf>
    <xf numFmtId="0" fontId="58" fillId="0" borderId="0" xfId="2" applyFont="1" applyAlignment="1">
      <alignment horizontal="center" vertical="center"/>
    </xf>
    <xf numFmtId="0" fontId="59" fillId="0" borderId="0" xfId="2" applyFont="1" applyAlignment="1">
      <alignment horizontal="center" vertical="center"/>
    </xf>
    <xf numFmtId="0" fontId="57" fillId="0" borderId="0" xfId="2" applyFont="1" applyBorder="1" applyAlignment="1">
      <alignment horizontal="center" vertical="center"/>
    </xf>
    <xf numFmtId="0" fontId="57" fillId="0" borderId="0" xfId="5" applyFont="1" applyAlignment="1">
      <alignment horizontal="center" vertical="center"/>
    </xf>
    <xf numFmtId="0" fontId="58" fillId="0" borderId="0" xfId="2" applyFont="1" applyBorder="1" applyAlignment="1">
      <alignment horizontal="center" vertical="center"/>
    </xf>
    <xf numFmtId="0" fontId="56" fillId="0" borderId="0" xfId="2" applyFont="1" applyFill="1" applyAlignment="1">
      <alignment horizontal="center" vertical="center"/>
    </xf>
    <xf numFmtId="0" fontId="56" fillId="0" borderId="0" xfId="2" applyFont="1" applyFill="1" applyBorder="1" applyAlignment="1">
      <alignment horizontal="center" vertical="center"/>
    </xf>
    <xf numFmtId="0" fontId="57" fillId="0" borderId="0" xfId="2" applyFont="1" applyFill="1" applyBorder="1" applyAlignment="1">
      <alignment horizontal="center" vertical="center"/>
    </xf>
    <xf numFmtId="0" fontId="57" fillId="0" borderId="11" xfId="2" applyFont="1" applyFill="1" applyBorder="1" applyAlignment="1">
      <alignment horizontal="center" vertical="center"/>
    </xf>
    <xf numFmtId="0" fontId="58" fillId="0" borderId="0" xfId="2" applyFont="1" applyFill="1" applyAlignment="1">
      <alignment horizontal="center" vertical="center"/>
    </xf>
    <xf numFmtId="0" fontId="59" fillId="0" borderId="0" xfId="2" applyFont="1" applyBorder="1" applyAlignment="1">
      <alignment horizontal="center" vertical="center"/>
    </xf>
    <xf numFmtId="4" fontId="56" fillId="0" borderId="0" xfId="5" applyNumberFormat="1" applyFont="1" applyAlignment="1">
      <alignment horizontal="center" vertical="center"/>
    </xf>
    <xf numFmtId="4" fontId="56" fillId="0" borderId="0" xfId="5" applyNumberFormat="1" applyFont="1" applyBorder="1" applyAlignment="1">
      <alignment horizontal="center" vertical="center"/>
    </xf>
    <xf numFmtId="0" fontId="60" fillId="0" borderId="0" xfId="2" applyFont="1" applyAlignment="1">
      <alignment horizontal="center" vertical="center"/>
    </xf>
    <xf numFmtId="4" fontId="58" fillId="0" borderId="0" xfId="5" applyNumberFormat="1" applyFont="1" applyAlignment="1">
      <alignment horizontal="center" vertical="center"/>
    </xf>
    <xf numFmtId="0" fontId="58" fillId="0" borderId="0" xfId="5" applyFont="1" applyAlignment="1">
      <alignment horizontal="center" vertical="center"/>
    </xf>
    <xf numFmtId="4" fontId="56" fillId="0" borderId="0" xfId="5" applyNumberFormat="1" applyFont="1" applyFill="1" applyAlignment="1">
      <alignment horizontal="center" vertical="center"/>
    </xf>
    <xf numFmtId="4" fontId="58" fillId="0" borderId="0" xfId="5" applyNumberFormat="1" applyFont="1" applyBorder="1" applyAlignment="1">
      <alignment horizontal="center" vertical="center"/>
    </xf>
    <xf numFmtId="4" fontId="57" fillId="0" borderId="0" xfId="5" applyNumberFormat="1" applyFont="1" applyBorder="1" applyAlignment="1">
      <alignment horizontal="center" vertical="center"/>
    </xf>
    <xf numFmtId="4" fontId="57" fillId="0" borderId="0" xfId="5" applyNumberFormat="1" applyFont="1" applyAlignment="1">
      <alignment horizontal="center" vertical="center"/>
    </xf>
    <xf numFmtId="4" fontId="57" fillId="0" borderId="0" xfId="5" applyNumberFormat="1" applyFont="1" applyFill="1" applyAlignment="1">
      <alignment horizontal="center" vertical="center"/>
    </xf>
    <xf numFmtId="4" fontId="56" fillId="0" borderId="0" xfId="7" applyNumberFormat="1" applyFont="1" applyAlignment="1">
      <alignment horizontal="center" vertical="center"/>
    </xf>
    <xf numFmtId="4" fontId="58" fillId="0" borderId="0" xfId="5" applyNumberFormat="1" applyFont="1" applyFill="1" applyBorder="1" applyAlignment="1">
      <alignment horizontal="center" vertical="center"/>
    </xf>
    <xf numFmtId="4" fontId="56" fillId="0" borderId="0" xfId="5" applyNumberFormat="1" applyFont="1" applyFill="1" applyBorder="1" applyAlignment="1">
      <alignment horizontal="center" vertical="center"/>
    </xf>
    <xf numFmtId="0" fontId="59" fillId="0" borderId="0" xfId="2" applyFont="1" applyFill="1" applyBorder="1" applyAlignment="1">
      <alignment horizontal="center" vertical="center"/>
    </xf>
    <xf numFmtId="0" fontId="56" fillId="0" borderId="0" xfId="0" applyFont="1" applyAlignment="1">
      <alignment horizontal="center" vertical="center"/>
    </xf>
    <xf numFmtId="0" fontId="56" fillId="0" borderId="0" xfId="0" applyFont="1" applyFill="1" applyAlignment="1">
      <alignment horizontal="center" vertical="center"/>
    </xf>
    <xf numFmtId="4" fontId="57" fillId="0" borderId="0" xfId="2" applyNumberFormat="1" applyFont="1" applyBorder="1" applyAlignment="1">
      <alignment horizontal="center" vertical="center"/>
    </xf>
    <xf numFmtId="4" fontId="56" fillId="0" borderId="0" xfId="2" applyNumberFormat="1" applyFont="1" applyBorder="1" applyAlignment="1">
      <alignment horizontal="center" vertical="center"/>
    </xf>
    <xf numFmtId="4" fontId="56" fillId="0" borderId="0" xfId="2" applyNumberFormat="1" applyFont="1" applyAlignment="1">
      <alignment horizontal="center" vertical="center"/>
    </xf>
    <xf numFmtId="0" fontId="23" fillId="0" borderId="59" xfId="0" applyNumberFormat="1" applyFont="1" applyFill="1" applyBorder="1" applyAlignment="1" applyProtection="1">
      <alignment horizontal="left" vertical="center" wrapText="1"/>
    </xf>
    <xf numFmtId="0" fontId="61" fillId="0" borderId="0" xfId="2" applyFont="1" applyBorder="1" applyAlignment="1">
      <alignment horizontal="center" vertical="center" wrapText="1"/>
    </xf>
    <xf numFmtId="0" fontId="14" fillId="0" borderId="67" xfId="2" applyFont="1" applyBorder="1" applyAlignment="1" applyProtection="1">
      <alignment horizontal="center" vertical="center"/>
    </xf>
    <xf numFmtId="1" fontId="14" fillId="0" borderId="68" xfId="2" applyNumberFormat="1" applyFont="1" applyBorder="1" applyAlignment="1" applyProtection="1">
      <alignment horizontal="center" vertical="center"/>
    </xf>
    <xf numFmtId="0" fontId="19" fillId="0" borderId="67" xfId="2" applyFont="1" applyBorder="1" applyAlignment="1" applyProtection="1">
      <alignment horizontal="center" vertical="center"/>
    </xf>
    <xf numFmtId="1" fontId="19" fillId="0" borderId="68" xfId="2" applyNumberFormat="1" applyFont="1" applyBorder="1" applyAlignment="1" applyProtection="1">
      <alignment horizontal="center" vertical="center"/>
    </xf>
    <xf numFmtId="49" fontId="19" fillId="0" borderId="59" xfId="3" applyNumberFormat="1" applyFont="1" applyBorder="1" applyAlignment="1">
      <alignment horizontal="center" vertical="center" wrapText="1"/>
    </xf>
    <xf numFmtId="4" fontId="19" fillId="0" borderId="68" xfId="3" applyNumberFormat="1" applyFont="1" applyBorder="1" applyAlignment="1">
      <alignment horizontal="right" vertical="center" wrapText="1"/>
    </xf>
    <xf numFmtId="1" fontId="19" fillId="0" borderId="68" xfId="2" applyNumberFormat="1" applyFont="1" applyBorder="1" applyAlignment="1" applyProtection="1">
      <alignment horizontal="left" vertical="center"/>
    </xf>
    <xf numFmtId="1" fontId="14" fillId="0" borderId="68" xfId="6" applyNumberFormat="1" applyFont="1" applyFill="1" applyBorder="1" applyAlignment="1">
      <alignment horizontal="center" vertical="center" wrapText="1"/>
    </xf>
    <xf numFmtId="1" fontId="5" fillId="0" borderId="67" xfId="6" applyNumberFormat="1" applyFont="1" applyFill="1" applyBorder="1" applyAlignment="1">
      <alignment horizontal="center" vertical="center" wrapText="1"/>
    </xf>
    <xf numFmtId="4" fontId="14" fillId="0" borderId="67" xfId="6" applyNumberFormat="1" applyFont="1" applyFill="1" applyBorder="1" applyAlignment="1">
      <alignment horizontal="right" vertical="center" wrapText="1"/>
    </xf>
    <xf numFmtId="4" fontId="14" fillId="0" borderId="68" xfId="6" applyNumberFormat="1" applyFont="1" applyFill="1" applyBorder="1" applyAlignment="1">
      <alignment horizontal="right" vertical="center" wrapText="1"/>
    </xf>
    <xf numFmtId="1" fontId="14" fillId="0" borderId="68" xfId="2" applyNumberFormat="1" applyFont="1" applyBorder="1" applyAlignment="1" applyProtection="1">
      <alignment horizontal="left" vertical="center"/>
    </xf>
    <xf numFmtId="0" fontId="14" fillId="0" borderId="59" xfId="3" applyFont="1" applyBorder="1" applyAlignment="1">
      <alignment horizontal="center" vertical="center" wrapText="1"/>
    </xf>
    <xf numFmtId="0" fontId="14" fillId="0" borderId="59" xfId="3" applyFont="1" applyBorder="1" applyAlignment="1">
      <alignment horizontal="left" vertical="center" wrapText="1"/>
    </xf>
    <xf numFmtId="4" fontId="14" fillId="0" borderId="68" xfId="3" applyNumberFormat="1" applyFont="1" applyBorder="1" applyAlignment="1">
      <alignment horizontal="right" vertical="center" wrapText="1"/>
    </xf>
    <xf numFmtId="0" fontId="14" fillId="0" borderId="33" xfId="0" applyFont="1" applyFill="1" applyBorder="1" applyAlignment="1">
      <alignment horizontal="left" vertical="center" wrapText="1"/>
    </xf>
    <xf numFmtId="0" fontId="19" fillId="0" borderId="59" xfId="0" applyFont="1" applyFill="1" applyBorder="1" applyAlignment="1">
      <alignment horizontal="right" vertical="center" wrapText="1"/>
    </xf>
    <xf numFmtId="0" fontId="19" fillId="0" borderId="60" xfId="0" applyFont="1" applyFill="1" applyBorder="1" applyAlignment="1">
      <alignment horizontal="right" vertical="center" wrapText="1"/>
    </xf>
    <xf numFmtId="165" fontId="14" fillId="0" borderId="60" xfId="0" applyNumberFormat="1" applyFont="1" applyFill="1" applyBorder="1" applyAlignment="1">
      <alignment horizontal="right" vertical="center" wrapText="1"/>
    </xf>
    <xf numFmtId="4" fontId="14" fillId="0" borderId="60" xfId="0" applyNumberFormat="1" applyFont="1" applyFill="1" applyBorder="1" applyAlignment="1">
      <alignment horizontal="right" vertical="center" wrapText="1"/>
    </xf>
    <xf numFmtId="0" fontId="19" fillId="0" borderId="67" xfId="5" applyFont="1" applyBorder="1" applyAlignment="1" applyProtection="1">
      <alignment horizontal="center" vertical="center"/>
    </xf>
    <xf numFmtId="1" fontId="19" fillId="0" borderId="68" xfId="6" applyNumberFormat="1" applyFont="1" applyFill="1" applyBorder="1" applyAlignment="1">
      <alignment horizontal="center" vertical="center" wrapText="1"/>
    </xf>
    <xf numFmtId="4" fontId="19" fillId="0" borderId="68" xfId="6" applyNumberFormat="1" applyFont="1" applyFill="1" applyBorder="1" applyAlignment="1">
      <alignment horizontal="right" vertical="center" wrapText="1"/>
    </xf>
    <xf numFmtId="4" fontId="15" fillId="0" borderId="11" xfId="3" applyNumberFormat="1" applyFont="1" applyBorder="1" applyAlignment="1">
      <alignment horizontal="left" vertical="center" wrapText="1"/>
    </xf>
    <xf numFmtId="1" fontId="15" fillId="0" borderId="68" xfId="6" applyNumberFormat="1" applyFont="1" applyFill="1" applyBorder="1" applyAlignment="1">
      <alignment horizontal="center" vertical="center" wrapText="1"/>
    </xf>
    <xf numFmtId="4" fontId="15" fillId="0" borderId="60" xfId="3" applyNumberFormat="1" applyFont="1" applyBorder="1" applyAlignment="1">
      <alignment horizontal="right" vertical="center" wrapText="1"/>
    </xf>
    <xf numFmtId="4" fontId="15" fillId="0" borderId="58" xfId="3" applyNumberFormat="1" applyFont="1" applyBorder="1" applyAlignment="1">
      <alignment horizontal="right" vertical="center" wrapText="1"/>
    </xf>
    <xf numFmtId="1" fontId="15" fillId="0" borderId="9" xfId="5" applyNumberFormat="1" applyFont="1" applyBorder="1" applyAlignment="1" applyProtection="1">
      <alignment horizontal="center" vertical="center" wrapText="1"/>
    </xf>
    <xf numFmtId="1" fontId="27" fillId="0" borderId="11" xfId="3" applyNumberFormat="1" applyFont="1" applyBorder="1" applyAlignment="1">
      <alignment horizontal="center" vertical="center" wrapText="1"/>
    </xf>
    <xf numFmtId="4" fontId="15" fillId="0" borderId="11" xfId="3" applyNumberFormat="1" applyFont="1" applyBorder="1" applyAlignment="1">
      <alignment horizontal="center" vertical="center" wrapText="1"/>
    </xf>
    <xf numFmtId="0" fontId="14" fillId="0" borderId="67" xfId="0" applyFont="1" applyFill="1" applyBorder="1" applyAlignment="1" applyProtection="1">
      <alignment horizontal="center" vertical="center"/>
    </xf>
    <xf numFmtId="4" fontId="15" fillId="0" borderId="67" xfId="5" applyNumberFormat="1" applyFont="1" applyBorder="1" applyAlignment="1" applyProtection="1">
      <alignment horizontal="center" vertical="center"/>
    </xf>
    <xf numFmtId="1" fontId="15" fillId="0" borderId="68" xfId="5" applyNumberFormat="1" applyFont="1" applyBorder="1" applyAlignment="1" applyProtection="1">
      <alignment horizontal="center" vertical="center" wrapText="1"/>
    </xf>
    <xf numFmtId="4" fontId="14" fillId="0" borderId="59" xfId="6" applyNumberFormat="1" applyFont="1" applyFill="1" applyBorder="1" applyAlignment="1">
      <alignment horizontal="left" vertical="center" wrapText="1"/>
    </xf>
    <xf numFmtId="1" fontId="5" fillId="0" borderId="67" xfId="2" applyNumberFormat="1" applyFont="1" applyBorder="1" applyAlignment="1" applyProtection="1">
      <alignment horizontal="center" vertical="center"/>
    </xf>
    <xf numFmtId="0" fontId="14" fillId="0" borderId="67" xfId="0" applyFont="1" applyBorder="1" applyAlignment="1" applyProtection="1">
      <alignment horizontal="center" vertical="center"/>
    </xf>
    <xf numFmtId="1" fontId="14" fillId="0" borderId="68" xfId="0" applyNumberFormat="1" applyFont="1" applyBorder="1" applyAlignment="1" applyProtection="1">
      <alignment horizontal="center" vertical="center" wrapText="1"/>
    </xf>
    <xf numFmtId="1" fontId="5" fillId="3" borderId="58" xfId="0" applyNumberFormat="1" applyFont="1" applyFill="1" applyBorder="1" applyAlignment="1" applyProtection="1">
      <alignment horizontal="center" vertical="center"/>
    </xf>
    <xf numFmtId="4" fontId="15" fillId="0" borderId="35" xfId="6" applyNumberFormat="1" applyFont="1" applyFill="1" applyBorder="1" applyAlignment="1">
      <alignment horizontal="left" vertical="center" wrapText="1"/>
    </xf>
    <xf numFmtId="0" fontId="5" fillId="3" borderId="0" xfId="3" applyFont="1" applyFill="1" applyBorder="1" applyAlignment="1">
      <alignment horizontal="center" vertical="center" wrapText="1"/>
    </xf>
    <xf numFmtId="0" fontId="19" fillId="3" borderId="59" xfId="3" applyFont="1" applyFill="1" applyBorder="1" applyAlignment="1">
      <alignment horizontal="center" vertical="center" wrapText="1"/>
    </xf>
    <xf numFmtId="0" fontId="4" fillId="3" borderId="59" xfId="2" applyFont="1" applyFill="1" applyBorder="1" applyAlignment="1">
      <alignment horizontal="center" vertical="center"/>
    </xf>
    <xf numFmtId="1" fontId="5" fillId="3" borderId="24" xfId="2" applyNumberFormat="1" applyFont="1" applyFill="1" applyBorder="1" applyAlignment="1" applyProtection="1">
      <alignment horizontal="center" vertical="center"/>
    </xf>
    <xf numFmtId="0" fontId="19" fillId="3" borderId="25" xfId="3" applyFont="1" applyFill="1" applyBorder="1" applyAlignment="1">
      <alignment horizontal="center" vertical="center" wrapText="1"/>
    </xf>
    <xf numFmtId="1" fontId="5" fillId="3" borderId="32" xfId="3" applyNumberFormat="1" applyFont="1" applyFill="1" applyBorder="1" applyAlignment="1">
      <alignment horizontal="center" vertical="center" wrapText="1"/>
    </xf>
    <xf numFmtId="0" fontId="14" fillId="3" borderId="32" xfId="3" applyFont="1" applyFill="1" applyBorder="1" applyAlignment="1">
      <alignment horizontal="center" vertical="center" wrapText="1"/>
    </xf>
    <xf numFmtId="1" fontId="5" fillId="3" borderId="24" xfId="3" applyNumberFormat="1" applyFont="1" applyFill="1" applyBorder="1" applyAlignment="1">
      <alignment horizontal="center" vertical="center" wrapText="1"/>
    </xf>
    <xf numFmtId="0" fontId="14" fillId="6" borderId="67" xfId="2" applyFont="1" applyFill="1" applyBorder="1" applyAlignment="1" applyProtection="1">
      <alignment horizontal="center" vertical="center"/>
    </xf>
    <xf numFmtId="0" fontId="19" fillId="0" borderId="68" xfId="2" applyFont="1" applyBorder="1" applyAlignment="1" applyProtection="1">
      <alignment horizontal="center" vertical="center"/>
    </xf>
    <xf numFmtId="2" fontId="14" fillId="0" borderId="68" xfId="6" applyNumberFormat="1" applyFont="1" applyFill="1" applyBorder="1" applyAlignment="1">
      <alignment horizontal="right" vertical="center" wrapText="1"/>
    </xf>
    <xf numFmtId="4" fontId="14" fillId="0" borderId="67" xfId="5" applyNumberFormat="1" applyFont="1" applyBorder="1" applyAlignment="1" applyProtection="1">
      <alignment horizontal="center" vertical="center"/>
    </xf>
    <xf numFmtId="4" fontId="15" fillId="0" borderId="59" xfId="3" applyNumberFormat="1" applyFont="1" applyBorder="1" applyAlignment="1">
      <alignment horizontal="left" vertical="center" wrapText="1"/>
    </xf>
    <xf numFmtId="4" fontId="14" fillId="0" borderId="71" xfId="3" applyNumberFormat="1" applyFont="1" applyBorder="1" applyAlignment="1">
      <alignment horizontal="right" vertical="center" wrapText="1"/>
    </xf>
    <xf numFmtId="4" fontId="27" fillId="0" borderId="0" xfId="5" applyNumberFormat="1" applyFont="1" applyBorder="1" applyAlignment="1">
      <alignment vertical="center"/>
    </xf>
    <xf numFmtId="1" fontId="14" fillId="0" borderId="68" xfId="5" applyNumberFormat="1" applyFont="1" applyBorder="1" applyAlignment="1" applyProtection="1">
      <alignment horizontal="center" vertical="center" wrapText="1"/>
    </xf>
    <xf numFmtId="4" fontId="14" fillId="0" borderId="68" xfId="2" applyNumberFormat="1" applyFont="1" applyBorder="1" applyAlignment="1" applyProtection="1">
      <alignment horizontal="right" vertical="center"/>
    </xf>
    <xf numFmtId="0" fontId="19" fillId="3" borderId="59" xfId="2" applyFont="1" applyFill="1" applyBorder="1" applyAlignment="1" applyProtection="1">
      <alignment horizontal="center" vertical="center"/>
    </xf>
    <xf numFmtId="0" fontId="23" fillId="0" borderId="33" xfId="0" applyNumberFormat="1" applyFont="1" applyFill="1" applyBorder="1" applyAlignment="1">
      <alignment horizontal="left" vertical="center" wrapText="1"/>
    </xf>
    <xf numFmtId="0" fontId="14" fillId="0" borderId="67" xfId="2" applyFont="1" applyBorder="1" applyAlignment="1" applyProtection="1">
      <alignment horizontal="left" vertical="center"/>
    </xf>
    <xf numFmtId="4" fontId="15" fillId="0" borderId="35" xfId="1" applyNumberFormat="1" applyFont="1" applyFill="1" applyBorder="1" applyAlignment="1" applyProtection="1">
      <alignment horizontal="right" vertical="center" wrapText="1"/>
    </xf>
    <xf numFmtId="0" fontId="14" fillId="0" borderId="33" xfId="0" applyNumberFormat="1" applyFont="1" applyFill="1" applyBorder="1" applyAlignment="1" applyProtection="1">
      <alignment horizontal="left" vertical="center" wrapText="1"/>
    </xf>
    <xf numFmtId="0" fontId="4" fillId="27" borderId="59" xfId="2" applyFont="1" applyFill="1" applyBorder="1" applyAlignment="1">
      <alignment horizontal="center" vertical="center"/>
    </xf>
    <xf numFmtId="0" fontId="14" fillId="0" borderId="0" xfId="3" quotePrefix="1" applyFont="1" applyFill="1" applyBorder="1" applyAlignment="1">
      <alignment horizontal="center" vertical="center" wrapText="1"/>
    </xf>
    <xf numFmtId="4" fontId="19" fillId="0" borderId="67" xfId="3" applyNumberFormat="1" applyFont="1" applyBorder="1" applyAlignment="1">
      <alignment horizontal="right" vertical="center" wrapText="1"/>
    </xf>
    <xf numFmtId="0" fontId="15" fillId="0" borderId="0" xfId="2" applyFont="1" applyBorder="1" applyAlignment="1" applyProtection="1">
      <alignment horizontal="left" vertical="center" wrapText="1"/>
    </xf>
    <xf numFmtId="1" fontId="4" fillId="0" borderId="13" xfId="2" applyNumberFormat="1" applyFont="1" applyBorder="1" applyAlignment="1" applyProtection="1">
      <alignment horizontal="center" vertical="center"/>
    </xf>
    <xf numFmtId="1" fontId="4" fillId="0" borderId="13" xfId="2" applyNumberFormat="1" applyFont="1" applyBorder="1" applyAlignment="1" applyProtection="1">
      <alignment horizontal="center" vertical="center" wrapText="1"/>
    </xf>
    <xf numFmtId="0" fontId="15" fillId="0" borderId="67" xfId="4" applyFont="1" applyFill="1" applyBorder="1" applyAlignment="1">
      <alignment horizontal="center" vertical="center" wrapText="1"/>
    </xf>
    <xf numFmtId="0" fontId="14" fillId="0" borderId="67" xfId="5" applyFont="1" applyBorder="1" applyAlignment="1" applyProtection="1">
      <alignment horizontal="center" vertical="center"/>
    </xf>
    <xf numFmtId="1" fontId="15" fillId="5" borderId="13" xfId="6" quotePrefix="1" applyNumberFormat="1" applyFont="1" applyFill="1" applyBorder="1" applyAlignment="1">
      <alignment horizontal="center" vertical="center" wrapText="1"/>
    </xf>
    <xf numFmtId="10" fontId="15" fillId="5" borderId="13" xfId="6" applyNumberFormat="1" applyFont="1" applyFill="1" applyBorder="1" applyAlignment="1">
      <alignment horizontal="right" vertical="center" wrapText="1"/>
    </xf>
    <xf numFmtId="0" fontId="64" fillId="0" borderId="0" xfId="2" applyFont="1" applyBorder="1" applyAlignment="1">
      <alignment horizontal="center" vertical="center"/>
    </xf>
    <xf numFmtId="0" fontId="65" fillId="0" borderId="0" xfId="2" applyFont="1" applyBorder="1" applyAlignment="1">
      <alignment horizontal="center" vertical="center"/>
    </xf>
    <xf numFmtId="0" fontId="66" fillId="0" borderId="0" xfId="2" applyFont="1" applyAlignment="1">
      <alignment horizontal="center" vertical="center"/>
    </xf>
    <xf numFmtId="0" fontId="67" fillId="0" borderId="0" xfId="2" applyFont="1" applyAlignment="1">
      <alignment horizontal="center" vertical="center"/>
    </xf>
    <xf numFmtId="1" fontId="14" fillId="0" borderId="0" xfId="3" applyNumberFormat="1" applyFont="1" applyBorder="1" applyAlignment="1">
      <alignment horizontal="center" vertical="center" wrapText="1"/>
    </xf>
    <xf numFmtId="0" fontId="68" fillId="0" borderId="0" xfId="2" applyFont="1" applyAlignment="1">
      <alignment horizontal="center" vertical="center"/>
    </xf>
    <xf numFmtId="0" fontId="19" fillId="0" borderId="0" xfId="2" applyFont="1" applyAlignment="1">
      <alignment vertical="center"/>
    </xf>
    <xf numFmtId="10" fontId="14" fillId="0" borderId="60" xfId="3" applyNumberFormat="1" applyFont="1" applyBorder="1" applyAlignment="1">
      <alignment horizontal="right" vertical="center" wrapText="1"/>
    </xf>
    <xf numFmtId="0" fontId="69" fillId="0" borderId="0" xfId="2" applyFont="1" applyAlignment="1">
      <alignment horizontal="center" vertical="center"/>
    </xf>
    <xf numFmtId="0" fontId="69" fillId="0" borderId="0" xfId="5" applyFont="1" applyAlignment="1">
      <alignment horizontal="center" vertical="center"/>
    </xf>
    <xf numFmtId="0" fontId="69" fillId="0" borderId="0" xfId="2" applyFont="1" applyBorder="1" applyAlignment="1">
      <alignment horizontal="center" vertical="center"/>
    </xf>
    <xf numFmtId="0" fontId="70" fillId="0" borderId="0" xfId="2" applyFont="1" applyAlignment="1">
      <alignment horizontal="center" vertical="center"/>
    </xf>
    <xf numFmtId="0" fontId="70" fillId="0" borderId="0" xfId="2" applyFont="1" applyBorder="1" applyAlignment="1">
      <alignment horizontal="center" vertical="center"/>
    </xf>
    <xf numFmtId="0" fontId="71" fillId="0" borderId="0" xfId="2" applyFont="1" applyAlignment="1">
      <alignment horizontal="center" vertical="center"/>
    </xf>
    <xf numFmtId="0" fontId="72" fillId="0" borderId="0" xfId="2" applyFont="1" applyAlignment="1">
      <alignment horizontal="center" vertical="center"/>
    </xf>
    <xf numFmtId="0" fontId="70" fillId="0" borderId="0" xfId="2" applyFont="1" applyFill="1" applyAlignment="1">
      <alignment horizontal="center" vertical="center" wrapText="1"/>
    </xf>
    <xf numFmtId="0" fontId="70" fillId="0" borderId="0" xfId="5" applyFont="1" applyAlignment="1">
      <alignment horizontal="center" vertical="center"/>
    </xf>
    <xf numFmtId="0" fontId="71" fillId="0" borderId="0" xfId="2" applyFont="1" applyBorder="1" applyAlignment="1">
      <alignment horizontal="center" vertical="center"/>
    </xf>
    <xf numFmtId="0" fontId="69" fillId="0" borderId="0" xfId="2" applyFont="1" applyFill="1" applyAlignment="1">
      <alignment horizontal="center" vertical="center"/>
    </xf>
    <xf numFmtId="0" fontId="69" fillId="0" borderId="0" xfId="2" applyFont="1" applyFill="1" applyBorder="1" applyAlignment="1">
      <alignment horizontal="center" vertical="center"/>
    </xf>
    <xf numFmtId="0" fontId="70" fillId="0" borderId="0" xfId="2" applyFont="1" applyFill="1" applyBorder="1" applyAlignment="1">
      <alignment horizontal="center" vertical="center"/>
    </xf>
    <xf numFmtId="0" fontId="70" fillId="0" borderId="11" xfId="2" applyFont="1" applyFill="1" applyBorder="1" applyAlignment="1">
      <alignment horizontal="center" vertical="center"/>
    </xf>
    <xf numFmtId="0" fontId="71" fillId="0" borderId="0" xfId="2" applyFont="1" applyFill="1" applyAlignment="1">
      <alignment horizontal="center" vertical="center"/>
    </xf>
    <xf numFmtId="0" fontId="72" fillId="0" borderId="0" xfId="2" applyFont="1" applyBorder="1" applyAlignment="1">
      <alignment horizontal="center" vertical="center"/>
    </xf>
    <xf numFmtId="4" fontId="69" fillId="0" borderId="0" xfId="5" applyNumberFormat="1" applyFont="1" applyAlignment="1">
      <alignment horizontal="center" vertical="center"/>
    </xf>
    <xf numFmtId="4" fontId="69" fillId="0" borderId="0" xfId="5" applyNumberFormat="1" applyFont="1" applyBorder="1" applyAlignment="1">
      <alignment horizontal="center" vertical="center"/>
    </xf>
    <xf numFmtId="4" fontId="71" fillId="0" borderId="0" xfId="5" applyNumberFormat="1" applyFont="1" applyAlignment="1">
      <alignment horizontal="center" vertical="center"/>
    </xf>
    <xf numFmtId="0" fontId="70" fillId="0" borderId="0" xfId="5" applyFont="1" applyBorder="1" applyAlignment="1">
      <alignment horizontal="center" vertical="center"/>
    </xf>
    <xf numFmtId="0" fontId="71" fillId="0" borderId="0" xfId="5" applyFont="1" applyAlignment="1">
      <alignment horizontal="center" vertical="center"/>
    </xf>
    <xf numFmtId="0" fontId="70" fillId="0" borderId="0" xfId="5" applyFont="1" applyAlignment="1">
      <alignment horizontal="center" vertical="center" wrapText="1"/>
    </xf>
    <xf numFmtId="4" fontId="69" fillId="0" borderId="0" xfId="5" applyNumberFormat="1" applyFont="1" applyFill="1" applyAlignment="1">
      <alignment horizontal="center" vertical="center"/>
    </xf>
    <xf numFmtId="4" fontId="71" fillId="0" borderId="0" xfId="5" applyNumberFormat="1" applyFont="1" applyBorder="1" applyAlignment="1">
      <alignment horizontal="center" vertical="center"/>
    </xf>
    <xf numFmtId="4" fontId="70" fillId="0" borderId="0" xfId="5" applyNumberFormat="1" applyFont="1" applyBorder="1" applyAlignment="1">
      <alignment horizontal="center" vertical="center"/>
    </xf>
    <xf numFmtId="4" fontId="70" fillId="0" borderId="0" xfId="5" applyNumberFormat="1" applyFont="1" applyFill="1" applyAlignment="1">
      <alignment horizontal="center" vertical="center"/>
    </xf>
    <xf numFmtId="4" fontId="70" fillId="0" borderId="0" xfId="5" applyNumberFormat="1" applyFont="1" applyAlignment="1">
      <alignment horizontal="center" vertical="center"/>
    </xf>
    <xf numFmtId="4" fontId="69" fillId="0" borderId="0" xfId="7" applyNumberFormat="1" applyFont="1" applyAlignment="1">
      <alignment horizontal="center" vertical="center"/>
    </xf>
    <xf numFmtId="4" fontId="70" fillId="0" borderId="0" xfId="5" applyNumberFormat="1" applyFont="1" applyAlignment="1">
      <alignment horizontal="center" vertical="center" wrapText="1"/>
    </xf>
    <xf numFmtId="4" fontId="71" fillId="0" borderId="0" xfId="5" applyNumberFormat="1" applyFont="1" applyFill="1" applyBorder="1" applyAlignment="1">
      <alignment horizontal="center" vertical="center"/>
    </xf>
    <xf numFmtId="4" fontId="69" fillId="0" borderId="0" xfId="5" applyNumberFormat="1" applyFont="1" applyFill="1" applyBorder="1" applyAlignment="1">
      <alignment horizontal="center" vertical="center"/>
    </xf>
    <xf numFmtId="4" fontId="70" fillId="0" borderId="0" xfId="5" applyNumberFormat="1" applyFont="1" applyBorder="1" applyAlignment="1">
      <alignment horizontal="center" vertical="center" wrapText="1"/>
    </xf>
    <xf numFmtId="0" fontId="69" fillId="0" borderId="0" xfId="2" applyFont="1" applyBorder="1" applyAlignment="1">
      <alignment horizontal="center" vertical="center" wrapText="1"/>
    </xf>
    <xf numFmtId="4" fontId="69" fillId="0" borderId="0" xfId="5" applyNumberFormat="1" applyFont="1" applyAlignment="1">
      <alignment horizontal="center" vertical="center" wrapText="1"/>
    </xf>
    <xf numFmtId="0" fontId="70" fillId="0" borderId="0" xfId="2" applyFont="1" applyFill="1" applyAlignment="1">
      <alignment horizontal="center" vertical="center"/>
    </xf>
    <xf numFmtId="0" fontId="72" fillId="0" borderId="0" xfId="2" applyFont="1" applyFill="1" applyBorder="1" applyAlignment="1">
      <alignment horizontal="center" vertical="center"/>
    </xf>
    <xf numFmtId="0" fontId="69" fillId="0" borderId="0" xfId="0" applyFont="1" applyAlignment="1">
      <alignment horizontal="center" vertical="center"/>
    </xf>
    <xf numFmtId="0" fontId="69" fillId="0" borderId="0" xfId="0" applyFont="1" applyFill="1" applyAlignment="1">
      <alignment horizontal="center" vertical="center"/>
    </xf>
    <xf numFmtId="4" fontId="70" fillId="0" borderId="0" xfId="2" applyNumberFormat="1" applyFont="1" applyBorder="1" applyAlignment="1">
      <alignment horizontal="center" vertical="center"/>
    </xf>
    <xf numFmtId="4" fontId="69" fillId="0" borderId="0" xfId="2" applyNumberFormat="1" applyFont="1" applyBorder="1" applyAlignment="1">
      <alignment horizontal="center" vertical="center"/>
    </xf>
    <xf numFmtId="4" fontId="69" fillId="0" borderId="0" xfId="2" applyNumberFormat="1" applyFont="1" applyAlignment="1">
      <alignment horizontal="center" vertical="center"/>
    </xf>
    <xf numFmtId="0" fontId="19" fillId="0" borderId="59" xfId="3" applyFont="1" applyFill="1" applyBorder="1" applyAlignment="1">
      <alignment horizontal="center" vertical="center" wrapText="1"/>
    </xf>
    <xf numFmtId="0" fontId="36" fillId="0" borderId="59" xfId="0" applyFont="1" applyBorder="1" applyAlignment="1">
      <alignment horizontal="justify" vertical="center" wrapText="1"/>
    </xf>
    <xf numFmtId="4" fontId="22" fillId="0" borderId="58" xfId="3" applyNumberFormat="1" applyFont="1" applyBorder="1" applyAlignment="1">
      <alignment horizontal="right" vertical="center" wrapText="1"/>
    </xf>
    <xf numFmtId="4" fontId="22" fillId="0" borderId="60" xfId="3" applyNumberFormat="1" applyFont="1" applyBorder="1" applyAlignment="1">
      <alignment horizontal="right" vertical="center" wrapText="1"/>
    </xf>
    <xf numFmtId="0" fontId="19" fillId="0" borderId="68" xfId="5" applyFont="1" applyBorder="1" applyAlignment="1" applyProtection="1">
      <alignment horizontal="center" vertical="center"/>
    </xf>
    <xf numFmtId="1" fontId="22" fillId="0" borderId="68" xfId="5" applyNumberFormat="1" applyFont="1" applyBorder="1" applyAlignment="1" applyProtection="1">
      <alignment horizontal="center" vertical="center" wrapText="1"/>
    </xf>
    <xf numFmtId="10" fontId="19" fillId="0" borderId="68" xfId="3" applyNumberFormat="1" applyFont="1" applyBorder="1" applyAlignment="1">
      <alignment horizontal="right" vertical="center" wrapText="1"/>
    </xf>
    <xf numFmtId="0" fontId="66" fillId="0" borderId="0" xfId="5" applyFont="1" applyAlignment="1">
      <alignment horizontal="center" vertical="center"/>
    </xf>
    <xf numFmtId="1" fontId="19" fillId="0" borderId="0" xfId="3" applyNumberFormat="1" applyFont="1" applyBorder="1" applyAlignment="1">
      <alignment horizontal="center" vertical="center" wrapText="1"/>
    </xf>
    <xf numFmtId="0" fontId="19" fillId="0" borderId="0" xfId="5" applyFont="1" applyAlignment="1">
      <alignment vertical="center"/>
    </xf>
    <xf numFmtId="1" fontId="14" fillId="0" borderId="67" xfId="6" applyNumberFormat="1" applyFont="1" applyFill="1" applyBorder="1" applyAlignment="1">
      <alignment horizontal="center" vertical="center" wrapText="1"/>
    </xf>
    <xf numFmtId="0" fontId="64" fillId="0" borderId="0" xfId="2" applyFont="1" applyFill="1" applyAlignment="1">
      <alignment horizontal="center" vertical="center"/>
    </xf>
    <xf numFmtId="0" fontId="14" fillId="0" borderId="0" xfId="2" applyFont="1" applyFill="1" applyAlignment="1">
      <alignment vertical="center"/>
    </xf>
    <xf numFmtId="0" fontId="15" fillId="0" borderId="67" xfId="0" applyFont="1" applyFill="1" applyBorder="1" applyAlignment="1" applyProtection="1">
      <alignment horizontal="center" vertical="center"/>
    </xf>
    <xf numFmtId="10" fontId="15" fillId="0" borderId="9" xfId="6" applyNumberFormat="1" applyFont="1" applyFill="1" applyBorder="1" applyAlignment="1">
      <alignment horizontal="right" vertical="center" wrapText="1"/>
    </xf>
    <xf numFmtId="0" fontId="73" fillId="0" borderId="0" xfId="2" applyFont="1" applyBorder="1" applyAlignment="1">
      <alignment horizontal="center" vertical="center"/>
    </xf>
    <xf numFmtId="0" fontId="22" fillId="0" borderId="0" xfId="2" applyFont="1" applyBorder="1" applyAlignment="1">
      <alignment vertical="center"/>
    </xf>
    <xf numFmtId="0" fontId="14" fillId="0" borderId="0" xfId="5" applyFont="1" applyFill="1" applyBorder="1" applyAlignment="1">
      <alignment vertical="center"/>
    </xf>
    <xf numFmtId="0" fontId="15" fillId="0" borderId="0" xfId="2" applyFont="1" applyFill="1" applyAlignment="1">
      <alignment vertical="center"/>
    </xf>
    <xf numFmtId="0" fontId="64" fillId="0" borderId="0" xfId="2" applyFont="1" applyAlignment="1">
      <alignment horizontal="center" vertical="center"/>
    </xf>
    <xf numFmtId="0" fontId="14" fillId="0" borderId="59" xfId="2" applyFont="1" applyBorder="1" applyAlignment="1" applyProtection="1">
      <alignment vertical="center" wrapText="1"/>
    </xf>
    <xf numFmtId="10" fontId="14" fillId="0" borderId="60" xfId="2" applyNumberFormat="1" applyFont="1" applyBorder="1" applyAlignment="1" applyProtection="1">
      <alignment horizontal="right" vertical="center"/>
    </xf>
    <xf numFmtId="4" fontId="4" fillId="0" borderId="0" xfId="2" applyNumberFormat="1" applyFont="1" applyBorder="1" applyAlignment="1">
      <alignment horizontal="left" vertical="center"/>
    </xf>
    <xf numFmtId="4" fontId="14" fillId="0" borderId="60" xfId="6" applyNumberFormat="1" applyFont="1" applyFill="1" applyBorder="1" applyAlignment="1">
      <alignment horizontal="right" vertical="center" wrapText="1"/>
    </xf>
    <xf numFmtId="10" fontId="14" fillId="0" borderId="60" xfId="6" applyNumberFormat="1" applyFont="1" applyFill="1" applyBorder="1" applyAlignment="1">
      <alignment horizontal="right" vertical="center" wrapText="1"/>
    </xf>
    <xf numFmtId="0" fontId="14" fillId="0" borderId="59" xfId="3" applyFont="1" applyBorder="1" applyAlignment="1">
      <alignment vertical="center" wrapText="1"/>
    </xf>
    <xf numFmtId="0" fontId="14" fillId="0" borderId="67" xfId="2" applyFont="1" applyFill="1" applyBorder="1" applyAlignment="1" applyProtection="1">
      <alignment horizontal="center" vertical="center"/>
    </xf>
    <xf numFmtId="0" fontId="64" fillId="0" borderId="0" xfId="0" applyFont="1" applyFill="1" applyAlignment="1">
      <alignment horizontal="center" vertical="center"/>
    </xf>
    <xf numFmtId="0" fontId="4" fillId="0" borderId="68" xfId="2" applyFont="1" applyFill="1" applyBorder="1" applyAlignment="1" applyProtection="1">
      <alignment horizontal="center" vertical="center"/>
    </xf>
    <xf numFmtId="10" fontId="15" fillId="2" borderId="13" xfId="4" applyNumberFormat="1" applyFont="1" applyBorder="1" applyAlignment="1">
      <alignment horizontal="right" vertical="center" wrapText="1"/>
    </xf>
    <xf numFmtId="10" fontId="14" fillId="0" borderId="1" xfId="3" applyNumberFormat="1" applyFont="1" applyBorder="1" applyAlignment="1">
      <alignment horizontal="right" vertical="center" wrapText="1"/>
    </xf>
    <xf numFmtId="10" fontId="15" fillId="5" borderId="7" xfId="6" applyNumberFormat="1" applyFont="1" applyFill="1" applyBorder="1" applyAlignment="1">
      <alignment horizontal="right" vertical="center" wrapText="1"/>
    </xf>
    <xf numFmtId="10" fontId="14" fillId="0" borderId="23" xfId="3" applyNumberFormat="1" applyFont="1" applyBorder="1" applyAlignment="1">
      <alignment horizontal="right" vertical="center" wrapText="1"/>
    </xf>
    <xf numFmtId="10" fontId="14" fillId="0" borderId="16" xfId="3" applyNumberFormat="1" applyFont="1" applyBorder="1" applyAlignment="1">
      <alignment horizontal="right" vertical="center" wrapText="1"/>
    </xf>
    <xf numFmtId="10" fontId="14" fillId="0" borderId="68" xfId="3" applyNumberFormat="1" applyFont="1" applyBorder="1" applyAlignment="1">
      <alignment horizontal="right" vertical="center" wrapText="1"/>
    </xf>
    <xf numFmtId="10" fontId="14" fillId="0" borderId="61" xfId="3" applyNumberFormat="1" applyFont="1" applyBorder="1" applyAlignment="1">
      <alignment horizontal="right" vertical="center" wrapText="1"/>
    </xf>
    <xf numFmtId="10" fontId="14" fillId="0" borderId="30" xfId="3" applyNumberFormat="1" applyFont="1" applyBorder="1" applyAlignment="1">
      <alignment horizontal="right" vertical="center" wrapText="1"/>
    </xf>
    <xf numFmtId="10" fontId="14" fillId="0" borderId="42" xfId="3" applyNumberFormat="1" applyFont="1" applyBorder="1" applyAlignment="1">
      <alignment horizontal="right" vertical="center" wrapText="1"/>
    </xf>
    <xf numFmtId="10" fontId="14" fillId="0" borderId="9" xfId="6" applyNumberFormat="1" applyFont="1" applyFill="1" applyBorder="1" applyAlignment="1">
      <alignment horizontal="right" vertical="center" wrapText="1"/>
    </xf>
    <xf numFmtId="10" fontId="19" fillId="0" borderId="42" xfId="6" applyNumberFormat="1" applyFont="1" applyFill="1" applyBorder="1" applyAlignment="1">
      <alignment horizontal="right" vertical="center" wrapText="1"/>
    </xf>
    <xf numFmtId="10" fontId="14" fillId="0" borderId="9" xfId="3" applyNumberFormat="1" applyFont="1" applyBorder="1" applyAlignment="1">
      <alignment horizontal="right" vertical="center" wrapText="1"/>
    </xf>
    <xf numFmtId="10" fontId="19" fillId="0" borderId="1" xfId="3" applyNumberFormat="1" applyFont="1" applyBorder="1" applyAlignment="1">
      <alignment horizontal="right" vertical="center" wrapText="1"/>
    </xf>
    <xf numFmtId="10" fontId="14" fillId="0" borderId="26" xfId="3" applyNumberFormat="1" applyFont="1" applyBorder="1" applyAlignment="1">
      <alignment horizontal="right" vertical="center" wrapText="1"/>
    </xf>
    <xf numFmtId="10" fontId="14" fillId="0" borderId="38" xfId="3" applyNumberFormat="1" applyFont="1" applyBorder="1" applyAlignment="1">
      <alignment horizontal="right" vertical="center" wrapText="1"/>
    </xf>
    <xf numFmtId="10" fontId="15" fillId="0" borderId="1" xfId="6" applyNumberFormat="1" applyFont="1" applyFill="1" applyBorder="1" applyAlignment="1">
      <alignment horizontal="right" vertical="center" wrapText="1"/>
    </xf>
    <xf numFmtId="10" fontId="15" fillId="0" borderId="42" xfId="6" applyNumberFormat="1" applyFont="1" applyFill="1" applyBorder="1" applyAlignment="1">
      <alignment horizontal="right" vertical="center" wrapText="1"/>
    </xf>
    <xf numFmtId="10" fontId="15" fillId="0" borderId="9" xfId="3" applyNumberFormat="1" applyFont="1" applyBorder="1" applyAlignment="1">
      <alignment horizontal="right" vertical="center" wrapText="1"/>
    </xf>
    <xf numFmtId="10" fontId="15" fillId="0" borderId="42" xfId="1" applyNumberFormat="1" applyFont="1" applyFill="1" applyBorder="1" applyAlignment="1" applyProtection="1">
      <alignment horizontal="right" vertical="center" wrapText="1"/>
    </xf>
    <xf numFmtId="10" fontId="15" fillId="0" borderId="35" xfId="1" applyNumberFormat="1" applyFont="1" applyFill="1" applyBorder="1" applyAlignment="1" applyProtection="1">
      <alignment horizontal="right" vertical="center" wrapText="1"/>
    </xf>
    <xf numFmtId="10" fontId="19" fillId="0" borderId="68" xfId="3" applyNumberFormat="1" applyFont="1" applyFill="1" applyBorder="1" applyAlignment="1">
      <alignment horizontal="left" vertical="center" wrapText="1"/>
    </xf>
    <xf numFmtId="10" fontId="14" fillId="0" borderId="9" xfId="3" applyNumberFormat="1" applyFont="1" applyFill="1" applyBorder="1" applyAlignment="1">
      <alignment horizontal="right" vertical="center" wrapText="1"/>
    </xf>
    <xf numFmtId="10" fontId="14" fillId="0" borderId="60" xfId="0" applyNumberFormat="1" applyFont="1" applyFill="1" applyBorder="1" applyAlignment="1">
      <alignment horizontal="right" vertical="center" wrapText="1"/>
    </xf>
    <xf numFmtId="10" fontId="15" fillId="5" borderId="9" xfId="3" applyNumberFormat="1" applyFont="1" applyFill="1" applyBorder="1" applyAlignment="1">
      <alignment horizontal="right" vertical="center" wrapText="1"/>
    </xf>
    <xf numFmtId="10" fontId="19" fillId="0" borderId="28" xfId="3" applyNumberFormat="1" applyFont="1" applyBorder="1" applyAlignment="1">
      <alignment horizontal="right" vertical="center" wrapText="1"/>
    </xf>
    <xf numFmtId="10" fontId="15" fillId="2" borderId="13" xfId="2" applyNumberFormat="1" applyFont="1" applyFill="1" applyBorder="1" applyAlignment="1" applyProtection="1">
      <alignment horizontal="right" vertical="center" wrapText="1"/>
    </xf>
    <xf numFmtId="10" fontId="15" fillId="5" borderId="1" xfId="6" applyNumberFormat="1" applyFont="1" applyFill="1" applyBorder="1" applyAlignment="1">
      <alignment horizontal="right" vertical="center" wrapText="1"/>
    </xf>
    <xf numFmtId="10" fontId="14" fillId="0" borderId="1" xfId="2" applyNumberFormat="1" applyFont="1" applyBorder="1" applyAlignment="1" applyProtection="1">
      <alignment horizontal="right" vertical="center"/>
    </xf>
    <xf numFmtId="10" fontId="14" fillId="0" borderId="16" xfId="2" applyNumberFormat="1" applyFont="1" applyBorder="1" applyAlignment="1" applyProtection="1">
      <alignment horizontal="right" vertical="center"/>
    </xf>
    <xf numFmtId="10" fontId="14" fillId="0" borderId="7" xfId="2" applyNumberFormat="1" applyFont="1" applyBorder="1" applyAlignment="1" applyProtection="1">
      <alignment horizontal="right" vertical="center"/>
    </xf>
    <xf numFmtId="10" fontId="15" fillId="5" borderId="13" xfId="2" applyNumberFormat="1" applyFont="1" applyFill="1" applyBorder="1" applyAlignment="1" applyProtection="1">
      <alignment horizontal="right" vertical="center" wrapText="1"/>
    </xf>
    <xf numFmtId="10" fontId="14" fillId="0" borderId="1" xfId="1" applyNumberFormat="1" applyFont="1" applyFill="1" applyBorder="1" applyAlignment="1" applyProtection="1">
      <alignment horizontal="right" vertical="center" wrapText="1"/>
    </xf>
    <xf numFmtId="10" fontId="14" fillId="0" borderId="20" xfId="1" applyNumberFormat="1" applyFont="1" applyFill="1" applyBorder="1" applyAlignment="1" applyProtection="1">
      <alignment horizontal="right" vertical="center" wrapText="1"/>
    </xf>
    <xf numFmtId="10" fontId="15" fillId="0" borderId="23" xfId="2" applyNumberFormat="1" applyFont="1" applyBorder="1" applyAlignment="1" applyProtection="1">
      <alignment horizontal="right" vertical="center"/>
    </xf>
    <xf numFmtId="10" fontId="14" fillId="0" borderId="42" xfId="2" applyNumberFormat="1" applyFont="1" applyBorder="1" applyAlignment="1" applyProtection="1">
      <alignment horizontal="right" vertical="center"/>
    </xf>
    <xf numFmtId="10" fontId="14" fillId="0" borderId="14" xfId="3" applyNumberFormat="1" applyFont="1" applyBorder="1" applyAlignment="1">
      <alignment horizontal="right" vertical="center" wrapText="1"/>
    </xf>
    <xf numFmtId="10" fontId="14" fillId="0" borderId="36" xfId="3" applyNumberFormat="1" applyFont="1" applyBorder="1" applyAlignment="1">
      <alignment horizontal="right" vertical="center" wrapText="1"/>
    </xf>
    <xf numFmtId="10" fontId="14" fillId="0" borderId="20" xfId="3" applyNumberFormat="1" applyFont="1" applyBorder="1" applyAlignment="1">
      <alignment horizontal="right" vertical="center" wrapText="1"/>
    </xf>
    <xf numFmtId="10" fontId="15" fillId="0" borderId="42" xfId="3" applyNumberFormat="1" applyFont="1" applyBorder="1" applyAlignment="1">
      <alignment horizontal="right" vertical="center" wrapText="1"/>
    </xf>
    <xf numFmtId="10" fontId="15" fillId="0" borderId="23" xfId="3" applyNumberFormat="1" applyFont="1" applyBorder="1" applyAlignment="1">
      <alignment horizontal="right" vertical="center" wrapText="1"/>
    </xf>
    <xf numFmtId="10" fontId="19" fillId="0" borderId="42" xfId="3" applyNumberFormat="1" applyFont="1" applyBorder="1" applyAlignment="1">
      <alignment horizontal="right" vertical="center" wrapText="1"/>
    </xf>
    <xf numFmtId="10" fontId="15" fillId="0" borderId="1" xfId="3" applyNumberFormat="1" applyFont="1" applyBorder="1" applyAlignment="1">
      <alignment horizontal="right" vertical="center" wrapText="1"/>
    </xf>
    <xf numFmtId="10" fontId="14" fillId="0" borderId="1" xfId="6" applyNumberFormat="1" applyFont="1" applyFill="1" applyBorder="1" applyAlignment="1">
      <alignment horizontal="right" vertical="center" wrapText="1"/>
    </xf>
    <xf numFmtId="10" fontId="15" fillId="6" borderId="23" xfId="6" applyNumberFormat="1" applyFont="1" applyFill="1" applyBorder="1" applyAlignment="1">
      <alignment horizontal="right" vertical="center" wrapText="1"/>
    </xf>
    <xf numFmtId="10" fontId="15" fillId="0" borderId="23" xfId="6" applyNumberFormat="1" applyFont="1" applyFill="1" applyBorder="1" applyAlignment="1">
      <alignment horizontal="right" vertical="center" wrapText="1"/>
    </xf>
    <xf numFmtId="10" fontId="15" fillId="0" borderId="60" xfId="3" applyNumberFormat="1" applyFont="1" applyBorder="1" applyAlignment="1">
      <alignment horizontal="right" vertical="center" wrapText="1"/>
    </xf>
    <xf numFmtId="10" fontId="19" fillId="0" borderId="35" xfId="3" applyNumberFormat="1" applyFont="1" applyBorder="1" applyAlignment="1">
      <alignment horizontal="right" vertical="center" wrapText="1"/>
    </xf>
    <xf numFmtId="10" fontId="15" fillId="0" borderId="60" xfId="6" applyNumberFormat="1" applyFont="1" applyFill="1" applyBorder="1" applyAlignment="1">
      <alignment horizontal="right" vertical="center" wrapText="1"/>
    </xf>
    <xf numFmtId="10" fontId="14" fillId="0" borderId="14" xfId="2" applyNumberFormat="1" applyFont="1" applyBorder="1" applyAlignment="1" applyProtection="1">
      <alignment horizontal="right" vertical="center"/>
    </xf>
    <xf numFmtId="10" fontId="14" fillId="0" borderId="68" xfId="2" applyNumberFormat="1" applyFont="1" applyBorder="1" applyAlignment="1" applyProtection="1">
      <alignment horizontal="right" vertical="center"/>
    </xf>
    <xf numFmtId="10" fontId="15" fillId="0" borderId="9" xfId="2" applyNumberFormat="1" applyFont="1" applyBorder="1" applyAlignment="1" applyProtection="1">
      <alignment horizontal="right" vertical="center"/>
    </xf>
    <xf numFmtId="10" fontId="15" fillId="0" borderId="0" xfId="2" applyNumberFormat="1" applyFont="1" applyBorder="1" applyAlignment="1" applyProtection="1">
      <alignment horizontal="left" vertical="center" wrapText="1"/>
    </xf>
    <xf numFmtId="10" fontId="14" fillId="0" borderId="23" xfId="2" applyNumberFormat="1" applyFont="1" applyBorder="1" applyAlignment="1" applyProtection="1">
      <alignment horizontal="right" vertical="center"/>
    </xf>
    <xf numFmtId="10" fontId="15" fillId="0" borderId="16" xfId="3" applyNumberFormat="1" applyFont="1" applyBorder="1" applyAlignment="1">
      <alignment horizontal="right" vertical="center" wrapText="1"/>
    </xf>
    <xf numFmtId="10" fontId="15" fillId="0" borderId="20" xfId="3" applyNumberFormat="1" applyFont="1" applyBorder="1" applyAlignment="1">
      <alignment horizontal="right" vertical="center" wrapText="1"/>
    </xf>
    <xf numFmtId="10" fontId="14" fillId="0" borderId="54" xfId="3" applyNumberFormat="1" applyFont="1" applyBorder="1" applyAlignment="1">
      <alignment horizontal="right" vertical="center" wrapText="1"/>
    </xf>
    <xf numFmtId="10" fontId="15" fillId="0" borderId="68" xfId="3" applyNumberFormat="1" applyFont="1" applyBorder="1" applyAlignment="1">
      <alignment horizontal="right" vertical="center" wrapText="1"/>
    </xf>
    <xf numFmtId="10" fontId="15" fillId="5" borderId="13" xfId="3" applyNumberFormat="1" applyFont="1" applyFill="1" applyBorder="1" applyAlignment="1">
      <alignment horizontal="right" vertical="center"/>
    </xf>
    <xf numFmtId="10" fontId="14" fillId="0" borderId="9" xfId="2" applyNumberFormat="1" applyFont="1" applyBorder="1" applyAlignment="1" applyProtection="1">
      <alignment horizontal="right" vertical="center"/>
    </xf>
    <xf numFmtId="10" fontId="19" fillId="0" borderId="35" xfId="2" applyNumberFormat="1" applyFont="1" applyBorder="1" applyAlignment="1" applyProtection="1">
      <alignment vertical="center" wrapText="1"/>
    </xf>
    <xf numFmtId="10" fontId="14" fillId="0" borderId="23" xfId="6" applyNumberFormat="1" applyFont="1" applyFill="1" applyBorder="1" applyAlignment="1">
      <alignment horizontal="right" vertical="center" wrapText="1"/>
    </xf>
    <xf numFmtId="10" fontId="11" fillId="4" borderId="57" xfId="5" applyNumberFormat="1" applyFont="1" applyFill="1" applyBorder="1" applyAlignment="1" applyProtection="1">
      <alignment horizontal="right" vertical="center"/>
    </xf>
    <xf numFmtId="10" fontId="15" fillId="2" borderId="66" xfId="5" applyNumberFormat="1" applyFont="1" applyFill="1" applyBorder="1" applyAlignment="1" applyProtection="1">
      <alignment horizontal="right" vertical="center"/>
    </xf>
    <xf numFmtId="10" fontId="14" fillId="0" borderId="9" xfId="5" applyNumberFormat="1" applyFont="1" applyFill="1" applyBorder="1" applyAlignment="1" applyProtection="1">
      <alignment horizontal="right" vertical="center"/>
    </xf>
    <xf numFmtId="10" fontId="11" fillId="4" borderId="5" xfId="5" applyNumberFormat="1" applyFont="1" applyFill="1" applyBorder="1" applyAlignment="1" applyProtection="1">
      <alignment horizontal="right" vertical="center"/>
    </xf>
    <xf numFmtId="10" fontId="4" fillId="0" borderId="0" xfId="3" applyNumberFormat="1" applyFont="1" applyBorder="1" applyAlignment="1">
      <alignment horizontal="right" vertical="center" wrapText="1"/>
    </xf>
    <xf numFmtId="10" fontId="4" fillId="0" borderId="0" xfId="2" applyNumberFormat="1" applyFont="1" applyBorder="1" applyAlignment="1" applyProtection="1">
      <alignment horizontal="right" vertical="center"/>
    </xf>
    <xf numFmtId="10" fontId="4" fillId="0" borderId="1" xfId="2" applyNumberFormat="1" applyFont="1" applyBorder="1" applyAlignment="1" applyProtection="1">
      <alignment horizontal="right" vertical="center"/>
    </xf>
    <xf numFmtId="10" fontId="1" fillId="0" borderId="1" xfId="2" applyNumberFormat="1" applyFont="1" applyBorder="1" applyAlignment="1" applyProtection="1">
      <alignment horizontal="right" vertical="center"/>
    </xf>
    <xf numFmtId="0" fontId="14" fillId="0" borderId="68" xfId="2" applyFont="1" applyBorder="1" applyAlignment="1">
      <alignment vertical="center"/>
    </xf>
    <xf numFmtId="1" fontId="14" fillId="0" borderId="29" xfId="2" applyNumberFormat="1" applyFont="1" applyBorder="1" applyAlignment="1" applyProtection="1">
      <alignment horizontal="center" vertical="center"/>
    </xf>
    <xf numFmtId="49" fontId="19" fillId="0" borderId="27" xfId="3" applyNumberFormat="1" applyFont="1" applyBorder="1" applyAlignment="1">
      <alignment horizontal="center" vertical="center" wrapText="1"/>
    </xf>
    <xf numFmtId="4" fontId="19" fillId="0" borderId="67" xfId="1" applyNumberFormat="1" applyFont="1" applyFill="1" applyBorder="1" applyAlignment="1" applyProtection="1">
      <alignment vertical="center" wrapText="1"/>
    </xf>
    <xf numFmtId="0" fontId="14" fillId="0" borderId="0" xfId="2" applyFont="1" applyBorder="1" applyAlignment="1">
      <alignment vertical="center"/>
    </xf>
    <xf numFmtId="4" fontId="64" fillId="0" borderId="0" xfId="5" applyNumberFormat="1" applyFont="1" applyAlignment="1">
      <alignment horizontal="center" vertical="center"/>
    </xf>
    <xf numFmtId="1" fontId="14" fillId="0" borderId="67" xfId="3" applyNumberFormat="1" applyFont="1" applyBorder="1" applyAlignment="1">
      <alignment horizontal="center" vertical="center" wrapText="1"/>
    </xf>
    <xf numFmtId="0" fontId="66" fillId="0" borderId="0" xfId="2" applyFont="1" applyBorder="1" applyAlignment="1">
      <alignment horizontal="center" vertical="center"/>
    </xf>
    <xf numFmtId="0" fontId="19" fillId="0" borderId="0" xfId="2" applyFont="1" applyBorder="1" applyAlignment="1">
      <alignment vertical="center"/>
    </xf>
    <xf numFmtId="4" fontId="19" fillId="0" borderId="68" xfId="3" applyNumberFormat="1" applyFont="1" applyFill="1" applyBorder="1" applyAlignment="1">
      <alignment horizontal="right" vertical="center" wrapText="1"/>
    </xf>
    <xf numFmtId="10" fontId="19" fillId="0" borderId="42" xfId="3" applyNumberFormat="1" applyFont="1" applyFill="1" applyBorder="1" applyAlignment="1">
      <alignment horizontal="left" vertical="center" wrapText="1"/>
    </xf>
    <xf numFmtId="0" fontId="74" fillId="0" borderId="0" xfId="2" applyFont="1" applyAlignment="1">
      <alignment horizontal="center" vertical="center"/>
    </xf>
    <xf numFmtId="0" fontId="19" fillId="0" borderId="0" xfId="2" applyFont="1" applyBorder="1" applyAlignment="1" applyProtection="1">
      <alignment horizontal="left" vertical="center" wrapText="1"/>
    </xf>
    <xf numFmtId="1" fontId="14" fillId="0" borderId="10" xfId="5" applyNumberFormat="1" applyFont="1" applyBorder="1" applyAlignment="1" applyProtection="1">
      <alignment horizontal="center" vertical="center" wrapText="1"/>
    </xf>
    <xf numFmtId="0" fontId="23" fillId="0" borderId="69" xfId="0" applyFont="1" applyBorder="1" applyAlignment="1" applyProtection="1">
      <alignment horizontal="center" vertical="center"/>
    </xf>
    <xf numFmtId="43" fontId="75" fillId="0" borderId="0" xfId="49" applyFont="1" applyBorder="1" applyAlignment="1" applyProtection="1">
      <alignment horizontal="center" vertical="center" wrapText="1"/>
    </xf>
    <xf numFmtId="43" fontId="14" fillId="0" borderId="67" xfId="49" applyFont="1" applyBorder="1" applyAlignment="1" applyProtection="1">
      <alignment horizontal="center" vertical="center" wrapText="1"/>
    </xf>
    <xf numFmtId="43" fontId="23" fillId="0" borderId="0" xfId="49" applyFont="1" applyBorder="1" applyAlignment="1" applyProtection="1">
      <alignment horizontal="center" vertical="center"/>
    </xf>
    <xf numFmtId="43" fontId="76" fillId="0" borderId="0" xfId="49" quotePrefix="1" applyFont="1" applyBorder="1" applyAlignment="1">
      <alignment horizontal="left" vertical="center" wrapText="1"/>
    </xf>
    <xf numFmtId="4" fontId="24" fillId="0" borderId="68" xfId="3" applyNumberFormat="1" applyFont="1" applyBorder="1" applyAlignment="1">
      <alignment horizontal="right" vertical="center" wrapText="1"/>
    </xf>
    <xf numFmtId="10" fontId="24" fillId="0" borderId="68" xfId="0" applyNumberFormat="1" applyFont="1" applyBorder="1" applyAlignment="1">
      <alignment vertical="center"/>
    </xf>
    <xf numFmtId="0" fontId="77" fillId="0" borderId="0" xfId="0" applyFont="1" applyBorder="1" applyAlignment="1">
      <alignment horizontal="center" vertical="center"/>
    </xf>
    <xf numFmtId="0" fontId="64" fillId="0" borderId="0" xfId="0" applyFont="1" applyBorder="1" applyAlignment="1">
      <alignment horizontal="center" vertical="center"/>
    </xf>
    <xf numFmtId="0" fontId="78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vertical="center"/>
    </xf>
    <xf numFmtId="0" fontId="26" fillId="0" borderId="69" xfId="0" applyFont="1" applyBorder="1" applyAlignment="1" applyProtection="1">
      <alignment horizontal="left" vertical="center"/>
    </xf>
    <xf numFmtId="43" fontId="26" fillId="0" borderId="0" xfId="49" applyFont="1" applyBorder="1" applyAlignment="1" applyProtection="1">
      <alignment horizontal="left" vertical="center" wrapText="1"/>
    </xf>
    <xf numFmtId="43" fontId="14" fillId="0" borderId="67" xfId="49" applyFont="1" applyBorder="1" applyAlignment="1" applyProtection="1">
      <alignment horizontal="left" vertical="center" wrapText="1"/>
    </xf>
    <xf numFmtId="43" fontId="26" fillId="0" borderId="0" xfId="49" applyFont="1" applyBorder="1" applyAlignment="1" applyProtection="1">
      <alignment horizontal="left" vertical="center"/>
    </xf>
    <xf numFmtId="43" fontId="26" fillId="0" borderId="0" xfId="49" quotePrefix="1" applyFont="1" applyBorder="1" applyAlignment="1">
      <alignment horizontal="left" vertical="center" wrapText="1"/>
    </xf>
    <xf numFmtId="4" fontId="26" fillId="0" borderId="68" xfId="3" applyNumberFormat="1" applyFont="1" applyBorder="1" applyAlignment="1">
      <alignment horizontal="left" vertical="center" wrapText="1"/>
    </xf>
    <xf numFmtId="4" fontId="26" fillId="0" borderId="68" xfId="0" applyNumberFormat="1" applyFont="1" applyBorder="1" applyAlignment="1">
      <alignment horizontal="left" vertical="center"/>
    </xf>
    <xf numFmtId="4" fontId="26" fillId="0" borderId="68" xfId="0" applyNumberFormat="1" applyFont="1" applyBorder="1" applyAlignment="1">
      <alignment horizontal="right" vertical="center"/>
    </xf>
    <xf numFmtId="4" fontId="26" fillId="0" borderId="68" xfId="0" applyNumberFormat="1" applyFont="1" applyBorder="1" applyAlignment="1">
      <alignment vertical="center"/>
    </xf>
    <xf numFmtId="10" fontId="26" fillId="0" borderId="68" xfId="0" applyNumberFormat="1" applyFont="1" applyBorder="1" applyAlignment="1">
      <alignment horizontal="right" vertical="center"/>
    </xf>
    <xf numFmtId="0" fontId="79" fillId="0" borderId="0" xfId="0" applyFont="1" applyBorder="1" applyAlignment="1">
      <alignment horizontal="center" vertical="center"/>
    </xf>
    <xf numFmtId="0" fontId="66" fillId="0" borderId="0" xfId="0" applyFont="1" applyBorder="1" applyAlignment="1">
      <alignment horizontal="center" vertical="center"/>
    </xf>
    <xf numFmtId="0" fontId="80" fillId="0" borderId="0" xfId="0" applyFont="1" applyBorder="1" applyAlignment="1">
      <alignment horizontal="center" vertical="center"/>
    </xf>
    <xf numFmtId="0" fontId="26" fillId="0" borderId="0" xfId="0" applyFont="1" applyBorder="1" applyAlignment="1">
      <alignment horizontal="left" vertical="center"/>
    </xf>
    <xf numFmtId="4" fontId="24" fillId="0" borderId="68" xfId="0" applyNumberFormat="1" applyFont="1" applyBorder="1" applyAlignment="1">
      <alignment vertical="center"/>
    </xf>
    <xf numFmtId="4" fontId="24" fillId="0" borderId="68" xfId="0" applyNumberFormat="1" applyFont="1" applyBorder="1" applyAlignment="1">
      <alignment horizontal="right" vertical="center"/>
    </xf>
    <xf numFmtId="1" fontId="15" fillId="0" borderId="71" xfId="6" quotePrefix="1" applyNumberFormat="1" applyFont="1" applyFill="1" applyBorder="1" applyAlignment="1">
      <alignment horizontal="center" vertical="center" wrapText="1"/>
    </xf>
    <xf numFmtId="0" fontId="76" fillId="0" borderId="73" xfId="50" quotePrefix="1" applyNumberFormat="1" applyFont="1" applyBorder="1" applyAlignment="1">
      <alignment horizontal="left" vertical="center" wrapText="1"/>
    </xf>
    <xf numFmtId="2" fontId="14" fillId="0" borderId="71" xfId="3" quotePrefix="1" applyNumberFormat="1" applyFont="1" applyBorder="1" applyAlignment="1">
      <alignment horizontal="right" vertical="center" wrapText="1"/>
    </xf>
    <xf numFmtId="2" fontId="15" fillId="0" borderId="71" xfId="6" applyNumberFormat="1" applyFont="1" applyFill="1" applyBorder="1" applyAlignment="1">
      <alignment horizontal="right" vertical="center" wrapText="1"/>
    </xf>
    <xf numFmtId="166" fontId="14" fillId="0" borderId="71" xfId="3" applyNumberFormat="1" applyFont="1" applyBorder="1" applyAlignment="1">
      <alignment horizontal="right" vertical="center" wrapText="1"/>
    </xf>
    <xf numFmtId="4" fontId="75" fillId="0" borderId="71" xfId="51" applyNumberFormat="1" applyFont="1" applyBorder="1" applyAlignment="1">
      <alignment horizontal="right" vertical="center" wrapText="1"/>
    </xf>
    <xf numFmtId="4" fontId="75" fillId="0" borderId="74" xfId="51" applyNumberFormat="1" applyFont="1" applyBorder="1" applyAlignment="1">
      <alignment horizontal="right" vertical="center" wrapText="1"/>
    </xf>
    <xf numFmtId="4" fontId="65" fillId="0" borderId="0" xfId="5" applyNumberFormat="1" applyFont="1" applyAlignment="1">
      <alignment horizontal="center" vertical="center"/>
    </xf>
    <xf numFmtId="0" fontId="82" fillId="0" borderId="35" xfId="50" applyNumberFormat="1" applyFont="1" applyBorder="1" applyAlignment="1">
      <alignment horizontal="left" vertical="center" wrapText="1"/>
    </xf>
    <xf numFmtId="0" fontId="67" fillId="0" borderId="0" xfId="5" applyFont="1" applyAlignment="1">
      <alignment horizontal="center" vertical="center"/>
    </xf>
    <xf numFmtId="0" fontId="25" fillId="0" borderId="35" xfId="50" quotePrefix="1" applyNumberFormat="1" applyFont="1" applyBorder="1" applyAlignment="1">
      <alignment horizontal="left" vertical="center" wrapText="1"/>
    </xf>
    <xf numFmtId="4" fontId="83" fillId="0" borderId="71" xfId="51" applyNumberFormat="1" applyFont="1" applyBorder="1" applyAlignment="1">
      <alignment horizontal="right" vertical="center" wrapText="1"/>
    </xf>
    <xf numFmtId="4" fontId="75" fillId="0" borderId="72" xfId="51" applyNumberFormat="1" applyFont="1" applyBorder="1" applyAlignment="1">
      <alignment horizontal="right" vertical="center" wrapText="1"/>
    </xf>
    <xf numFmtId="0" fontId="25" fillId="0" borderId="73" xfId="50" quotePrefix="1" applyNumberFormat="1" applyFont="1" applyBorder="1" applyAlignment="1">
      <alignment horizontal="left" vertical="center" wrapText="1"/>
    </xf>
    <xf numFmtId="4" fontId="25" fillId="0" borderId="71" xfId="51" applyNumberFormat="1" applyFont="1" applyBorder="1" applyAlignment="1">
      <alignment horizontal="right" vertical="center" wrapText="1"/>
    </xf>
    <xf numFmtId="4" fontId="25" fillId="0" borderId="72" xfId="51" applyNumberFormat="1" applyFont="1" applyBorder="1" applyAlignment="1">
      <alignment horizontal="right" vertical="center" wrapText="1"/>
    </xf>
    <xf numFmtId="0" fontId="25" fillId="0" borderId="73" xfId="50" quotePrefix="1" applyNumberFormat="1" applyFont="1" applyBorder="1" applyAlignment="1" applyProtection="1">
      <alignment vertical="center" wrapText="1"/>
      <protection locked="0"/>
    </xf>
    <xf numFmtId="4" fontId="25" fillId="0" borderId="71" xfId="51" applyNumberFormat="1" applyFont="1" applyBorder="1" applyAlignment="1">
      <alignment horizontal="left" vertical="center" wrapText="1"/>
    </xf>
    <xf numFmtId="1" fontId="14" fillId="0" borderId="41" xfId="6" applyNumberFormat="1" applyFont="1" applyFill="1" applyBorder="1" applyAlignment="1">
      <alignment horizontal="center" vertical="center" wrapText="1"/>
    </xf>
    <xf numFmtId="0" fontId="14" fillId="0" borderId="60" xfId="3" applyFont="1" applyBorder="1" applyAlignment="1">
      <alignment horizontal="right" vertical="center" wrapText="1"/>
    </xf>
    <xf numFmtId="0" fontId="64" fillId="0" borderId="0" xfId="5" applyFont="1" applyAlignment="1">
      <alignment horizontal="center" vertical="center"/>
    </xf>
    <xf numFmtId="2" fontId="14" fillId="0" borderId="70" xfId="3" quotePrefix="1" applyNumberFormat="1" applyFont="1" applyBorder="1" applyAlignment="1">
      <alignment horizontal="right" vertical="center" wrapText="1"/>
    </xf>
    <xf numFmtId="0" fontId="19" fillId="0" borderId="27" xfId="2" applyFont="1" applyBorder="1" applyAlignment="1" applyProtection="1">
      <alignment vertical="center" wrapText="1"/>
    </xf>
    <xf numFmtId="0" fontId="19" fillId="0" borderId="70" xfId="2" applyFont="1" applyBorder="1" applyAlignment="1" applyProtection="1">
      <alignment horizontal="right" vertical="center" wrapText="1"/>
    </xf>
    <xf numFmtId="0" fontId="19" fillId="0" borderId="68" xfId="2" applyFont="1" applyBorder="1" applyAlignment="1" applyProtection="1">
      <alignment horizontal="right" vertical="center" wrapText="1"/>
    </xf>
    <xf numFmtId="10" fontId="19" fillId="0" borderId="68" xfId="2" applyNumberFormat="1" applyFont="1" applyBorder="1" applyAlignment="1" applyProtection="1">
      <alignment horizontal="right" vertical="center" wrapText="1"/>
    </xf>
    <xf numFmtId="10" fontId="19" fillId="0" borderId="28" xfId="2" applyNumberFormat="1" applyFont="1" applyBorder="1" applyAlignment="1" applyProtection="1">
      <alignment horizontal="right" vertical="center" wrapText="1"/>
    </xf>
    <xf numFmtId="0" fontId="19" fillId="0" borderId="0" xfId="6" applyFont="1" applyFill="1" applyBorder="1" applyAlignment="1">
      <alignment horizontal="left" vertical="center" wrapText="1"/>
    </xf>
    <xf numFmtId="1" fontId="19" fillId="0" borderId="75" xfId="6" applyNumberFormat="1" applyFont="1" applyFill="1" applyBorder="1" applyAlignment="1">
      <alignment horizontal="center" vertical="center" wrapText="1"/>
    </xf>
    <xf numFmtId="2" fontId="14" fillId="0" borderId="75" xfId="6" applyNumberFormat="1" applyFont="1" applyFill="1" applyBorder="1" applyAlignment="1">
      <alignment horizontal="right" vertical="center" wrapText="1"/>
    </xf>
    <xf numFmtId="1" fontId="20" fillId="3" borderId="0" xfId="6" applyNumberFormat="1" applyFont="1" applyFill="1" applyBorder="1" applyAlignment="1">
      <alignment horizontal="center" vertical="center" wrapText="1"/>
    </xf>
    <xf numFmtId="0" fontId="19" fillId="3" borderId="0" xfId="6" applyFont="1" applyFill="1" applyBorder="1" applyAlignment="1">
      <alignment horizontal="center" vertical="center" wrapText="1"/>
    </xf>
    <xf numFmtId="2" fontId="14" fillId="0" borderId="76" xfId="3" quotePrefix="1" applyNumberFormat="1" applyFont="1" applyBorder="1" applyAlignment="1">
      <alignment horizontal="right" vertical="center" wrapText="1"/>
    </xf>
    <xf numFmtId="4" fontId="75" fillId="0" borderId="77" xfId="51" applyNumberFormat="1" applyFont="1" applyBorder="1" applyAlignment="1">
      <alignment horizontal="right" vertical="center" wrapText="1"/>
    </xf>
    <xf numFmtId="10" fontId="15" fillId="0" borderId="75" xfId="3" applyNumberFormat="1" applyFont="1" applyBorder="1" applyAlignment="1">
      <alignment horizontal="right" vertical="center" wrapText="1"/>
    </xf>
    <xf numFmtId="2" fontId="14" fillId="0" borderId="67" xfId="6" applyNumberFormat="1" applyFont="1" applyFill="1" applyBorder="1" applyAlignment="1">
      <alignment horizontal="right" vertical="center" wrapText="1"/>
    </xf>
    <xf numFmtId="4" fontId="14" fillId="0" borderId="75" xfId="3" applyNumberFormat="1" applyFont="1" applyBorder="1" applyAlignment="1">
      <alignment horizontal="right" vertical="center" wrapText="1"/>
    </xf>
    <xf numFmtId="10" fontId="14" fillId="0" borderId="75" xfId="3" applyNumberFormat="1" applyFont="1" applyBorder="1" applyAlignment="1">
      <alignment horizontal="right" vertical="center" wrapText="1"/>
    </xf>
    <xf numFmtId="1" fontId="20" fillId="0" borderId="67" xfId="6" applyNumberFormat="1" applyFont="1" applyFill="1" applyBorder="1" applyAlignment="1">
      <alignment horizontal="center" vertical="center" wrapText="1"/>
    </xf>
    <xf numFmtId="4" fontId="25" fillId="0" borderId="77" xfId="51" applyNumberFormat="1" applyFont="1" applyBorder="1" applyAlignment="1">
      <alignment horizontal="right" vertical="center" wrapText="1"/>
    </xf>
    <xf numFmtId="0" fontId="19" fillId="0" borderId="78" xfId="5" applyFont="1" applyBorder="1" applyAlignment="1" applyProtection="1">
      <alignment horizontal="center" vertical="center"/>
    </xf>
    <xf numFmtId="2" fontId="14" fillId="0" borderId="78" xfId="6" applyNumberFormat="1" applyFont="1" applyFill="1" applyBorder="1" applyAlignment="1">
      <alignment horizontal="right" vertical="center" wrapText="1"/>
    </xf>
    <xf numFmtId="1" fontId="20" fillId="0" borderId="78" xfId="6" applyNumberFormat="1" applyFont="1" applyFill="1" applyBorder="1" applyAlignment="1">
      <alignment horizontal="center" vertical="center" wrapText="1"/>
    </xf>
    <xf numFmtId="4" fontId="14" fillId="0" borderId="78" xfId="5" applyNumberFormat="1" applyFont="1" applyBorder="1" applyAlignment="1" applyProtection="1">
      <alignment horizontal="center" vertical="center"/>
    </xf>
    <xf numFmtId="4" fontId="15" fillId="0" borderId="78" xfId="5" applyNumberFormat="1" applyFont="1" applyBorder="1" applyAlignment="1" applyProtection="1">
      <alignment horizontal="center" vertical="center"/>
    </xf>
    <xf numFmtId="1" fontId="15" fillId="0" borderId="75" xfId="6" applyNumberFormat="1" applyFont="1" applyFill="1" applyBorder="1" applyAlignment="1">
      <alignment horizontal="center" vertical="center" wrapText="1"/>
    </xf>
    <xf numFmtId="4" fontId="15" fillId="0" borderId="75" xfId="6" applyNumberFormat="1" applyFont="1" applyFill="1" applyBorder="1" applyAlignment="1">
      <alignment horizontal="right" vertical="center" wrapText="1"/>
    </xf>
    <xf numFmtId="4" fontId="84" fillId="0" borderId="0" xfId="5" applyNumberFormat="1" applyFont="1" applyAlignment="1">
      <alignment horizontal="center" vertical="center"/>
    </xf>
    <xf numFmtId="1" fontId="15" fillId="0" borderId="58" xfId="6" applyNumberFormat="1" applyFont="1" applyFill="1" applyBorder="1" applyAlignment="1">
      <alignment horizontal="center" vertical="center" wrapText="1"/>
    </xf>
    <xf numFmtId="4" fontId="85" fillId="0" borderId="0" xfId="5" applyNumberFormat="1" applyFont="1" applyBorder="1" applyAlignment="1">
      <alignment horizontal="center" vertical="center"/>
    </xf>
    <xf numFmtId="4" fontId="64" fillId="0" borderId="0" xfId="5" applyNumberFormat="1" applyFont="1" applyBorder="1" applyAlignment="1">
      <alignment horizontal="center" vertical="center"/>
    </xf>
    <xf numFmtId="4" fontId="65" fillId="0" borderId="0" xfId="5" applyNumberFormat="1" applyFont="1" applyBorder="1" applyAlignment="1">
      <alignment horizontal="center" vertical="center"/>
    </xf>
    <xf numFmtId="0" fontId="66" fillId="0" borderId="0" xfId="5" applyFont="1" applyBorder="1" applyAlignment="1">
      <alignment horizontal="center" vertical="center"/>
    </xf>
    <xf numFmtId="0" fontId="67" fillId="0" borderId="0" xfId="5" applyFont="1" applyBorder="1" applyAlignment="1">
      <alignment horizontal="center" vertical="center"/>
    </xf>
    <xf numFmtId="4" fontId="5" fillId="3" borderId="0" xfId="3" applyNumberFormat="1" applyFont="1" applyFill="1" applyBorder="1" applyAlignment="1">
      <alignment horizontal="center" vertical="center" wrapText="1"/>
    </xf>
    <xf numFmtId="4" fontId="14" fillId="3" borderId="0" xfId="3" applyNumberFormat="1" applyFont="1" applyFill="1" applyBorder="1" applyAlignment="1">
      <alignment horizontal="center" vertical="center" wrapText="1"/>
    </xf>
    <xf numFmtId="4" fontId="14" fillId="0" borderId="76" xfId="3" quotePrefix="1" applyNumberFormat="1" applyFont="1" applyBorder="1" applyAlignment="1">
      <alignment horizontal="right" vertical="center" wrapText="1"/>
    </xf>
    <xf numFmtId="4" fontId="14" fillId="0" borderId="71" xfId="3" quotePrefix="1" applyNumberFormat="1" applyFont="1" applyBorder="1" applyAlignment="1">
      <alignment horizontal="right" vertical="center" wrapText="1"/>
    </xf>
    <xf numFmtId="4" fontId="15" fillId="0" borderId="71" xfId="6" applyNumberFormat="1" applyFont="1" applyFill="1" applyBorder="1" applyAlignment="1">
      <alignment horizontal="right" vertical="center" wrapText="1"/>
    </xf>
    <xf numFmtId="4" fontId="19" fillId="0" borderId="77" xfId="3" applyNumberFormat="1" applyFont="1" applyBorder="1" applyAlignment="1">
      <alignment horizontal="right" vertical="center" wrapText="1"/>
    </xf>
    <xf numFmtId="10" fontId="19" fillId="0" borderId="77" xfId="3" applyNumberFormat="1" applyFont="1" applyBorder="1" applyAlignment="1">
      <alignment horizontal="right" vertical="center" wrapText="1"/>
    </xf>
    <xf numFmtId="0" fontId="19" fillId="0" borderId="0" xfId="2" applyFont="1" applyBorder="1" applyAlignment="1" applyProtection="1">
      <alignment horizontal="left" vertical="center" wrapText="1"/>
    </xf>
    <xf numFmtId="0" fontId="19" fillId="0" borderId="0" xfId="6" quotePrefix="1" applyFont="1" applyFill="1" applyBorder="1" applyAlignment="1">
      <alignment horizontal="left" vertical="center" wrapText="1"/>
    </xf>
    <xf numFmtId="1" fontId="20" fillId="0" borderId="29" xfId="6" applyNumberFormat="1" applyFont="1" applyFill="1" applyBorder="1" applyAlignment="1">
      <alignment horizontal="center" vertical="center" wrapText="1"/>
    </xf>
    <xf numFmtId="0" fontId="19" fillId="0" borderId="27" xfId="6" applyFont="1" applyFill="1" applyBorder="1" applyAlignment="1">
      <alignment horizontal="center" vertical="center" wrapText="1"/>
    </xf>
    <xf numFmtId="0" fontId="76" fillId="0" borderId="79" xfId="50" quotePrefix="1" applyNumberFormat="1" applyFont="1" applyBorder="1" applyAlignment="1">
      <alignment horizontal="left" vertical="center" wrapText="1"/>
    </xf>
    <xf numFmtId="4" fontId="75" fillId="0" borderId="80" xfId="51" applyNumberFormat="1" applyFont="1" applyBorder="1" applyAlignment="1">
      <alignment horizontal="right" vertical="center" wrapText="1"/>
    </xf>
    <xf numFmtId="2" fontId="14" fillId="0" borderId="28" xfId="6" applyNumberFormat="1" applyFont="1" applyFill="1" applyBorder="1" applyAlignment="1">
      <alignment horizontal="right" vertical="center" wrapText="1"/>
    </xf>
    <xf numFmtId="4" fontId="14" fillId="0" borderId="27" xfId="5" applyNumberFormat="1" applyFont="1" applyBorder="1" applyAlignment="1">
      <alignment horizontal="right" vertical="center"/>
    </xf>
    <xf numFmtId="10" fontId="15" fillId="0" borderId="28" xfId="3" applyNumberFormat="1" applyFont="1" applyBorder="1" applyAlignment="1">
      <alignment horizontal="right" vertical="center" wrapText="1"/>
    </xf>
    <xf numFmtId="4" fontId="19" fillId="0" borderId="42" xfId="2" applyNumberFormat="1" applyFont="1" applyBorder="1" applyAlignment="1" applyProtection="1">
      <alignment horizontal="right" vertical="center"/>
    </xf>
    <xf numFmtId="10" fontId="19" fillId="0" borderId="42" xfId="2" applyNumberFormat="1" applyFont="1" applyBorder="1" applyAlignment="1" applyProtection="1">
      <alignment horizontal="right" vertical="center"/>
    </xf>
    <xf numFmtId="4" fontId="19" fillId="0" borderId="35" xfId="2" applyNumberFormat="1" applyFont="1" applyBorder="1" applyAlignment="1" applyProtection="1">
      <alignment vertical="center" wrapText="1"/>
    </xf>
    <xf numFmtId="0" fontId="76" fillId="0" borderId="81" xfId="50" quotePrefix="1" applyNumberFormat="1" applyFont="1" applyBorder="1" applyAlignment="1">
      <alignment horizontal="left" vertical="center" wrapText="1"/>
    </xf>
    <xf numFmtId="0" fontId="19" fillId="3" borderId="0" xfId="6" quotePrefix="1" applyFont="1" applyFill="1" applyBorder="1" applyAlignment="1">
      <alignment horizontal="center" vertical="center" wrapText="1"/>
    </xf>
    <xf numFmtId="4" fontId="19" fillId="0" borderId="78" xfId="6" applyNumberFormat="1" applyFont="1" applyFill="1" applyBorder="1" applyAlignment="1">
      <alignment horizontal="right" vertical="center" wrapText="1"/>
    </xf>
    <xf numFmtId="4" fontId="19" fillId="0" borderId="75" xfId="6" applyNumberFormat="1" applyFont="1" applyFill="1" applyBorder="1" applyAlignment="1">
      <alignment horizontal="right" vertical="center" wrapText="1"/>
    </xf>
    <xf numFmtId="4" fontId="19" fillId="0" borderId="75" xfId="3" applyNumberFormat="1" applyFont="1" applyBorder="1" applyAlignment="1">
      <alignment horizontal="right" vertical="center" wrapText="1"/>
    </xf>
    <xf numFmtId="10" fontId="19" fillId="0" borderId="75" xfId="3" applyNumberFormat="1" applyFont="1" applyBorder="1" applyAlignment="1">
      <alignment horizontal="right" vertical="center" wrapText="1"/>
    </xf>
    <xf numFmtId="0" fontId="86" fillId="0" borderId="0" xfId="5" applyFont="1" applyAlignment="1">
      <alignment horizontal="center" vertical="center"/>
    </xf>
    <xf numFmtId="4" fontId="14" fillId="0" borderId="75" xfId="6" applyNumberFormat="1" applyFont="1" applyFill="1" applyBorder="1" applyAlignment="1">
      <alignment horizontal="right" vertical="center" wrapText="1"/>
    </xf>
    <xf numFmtId="1" fontId="5" fillId="0" borderId="78" xfId="6" applyNumberFormat="1" applyFont="1" applyFill="1" applyBorder="1" applyAlignment="1">
      <alignment horizontal="center" vertical="center" wrapText="1"/>
    </xf>
    <xf numFmtId="4" fontId="17" fillId="0" borderId="0" xfId="5" applyNumberFormat="1" applyFont="1" applyAlignment="1">
      <alignment horizontal="center" vertical="center"/>
    </xf>
    <xf numFmtId="0" fontId="28" fillId="0" borderId="0" xfId="5" applyFont="1" applyAlignment="1">
      <alignment horizontal="center" vertical="center"/>
    </xf>
    <xf numFmtId="4" fontId="25" fillId="0" borderId="76" xfId="51" applyNumberFormat="1" applyFont="1" applyBorder="1" applyAlignment="1">
      <alignment horizontal="left" vertical="center" wrapText="1"/>
    </xf>
    <xf numFmtId="4" fontId="25" fillId="0" borderId="75" xfId="51" applyNumberFormat="1" applyFont="1" applyBorder="1" applyAlignment="1">
      <alignment horizontal="left" vertical="center" wrapText="1"/>
    </xf>
    <xf numFmtId="4" fontId="25" fillId="0" borderId="75" xfId="51" applyNumberFormat="1" applyFont="1" applyBorder="1" applyAlignment="1">
      <alignment horizontal="right" vertical="center" wrapText="1"/>
    </xf>
    <xf numFmtId="4" fontId="15" fillId="0" borderId="75" xfId="5" applyNumberFormat="1" applyFont="1" applyFill="1" applyBorder="1" applyAlignment="1" applyProtection="1">
      <alignment horizontal="center" vertical="center"/>
    </xf>
    <xf numFmtId="1" fontId="14" fillId="5" borderId="4" xfId="6" applyNumberFormat="1" applyFont="1" applyFill="1" applyBorder="1" applyAlignment="1">
      <alignment horizontal="center" vertical="center" wrapText="1"/>
    </xf>
    <xf numFmtId="4" fontId="14" fillId="0" borderId="0" xfId="5" applyNumberFormat="1" applyFont="1" applyAlignment="1">
      <alignment vertical="center"/>
    </xf>
    <xf numFmtId="4" fontId="14" fillId="0" borderId="78" xfId="5" applyNumberFormat="1" applyFont="1" applyFill="1" applyBorder="1" applyAlignment="1" applyProtection="1">
      <alignment horizontal="center" vertical="center"/>
    </xf>
    <xf numFmtId="1" fontId="5" fillId="0" borderId="32" xfId="6" applyNumberFormat="1" applyFont="1" applyFill="1" applyBorder="1" applyAlignment="1">
      <alignment horizontal="center" vertical="center" wrapText="1"/>
    </xf>
    <xf numFmtId="4" fontId="14" fillId="0" borderId="32" xfId="6" applyNumberFormat="1" applyFont="1" applyFill="1" applyBorder="1" applyAlignment="1">
      <alignment horizontal="center" vertical="center" wrapText="1"/>
    </xf>
    <xf numFmtId="0" fontId="15" fillId="0" borderId="0" xfId="52" applyFont="1" applyFill="1" applyBorder="1" applyAlignment="1">
      <alignment horizontal="left" vertical="center" wrapText="1"/>
    </xf>
    <xf numFmtId="4" fontId="14" fillId="0" borderId="30" xfId="6" applyNumberFormat="1" applyFont="1" applyFill="1" applyBorder="1" applyAlignment="1">
      <alignment horizontal="right" vertical="center" wrapText="1"/>
    </xf>
    <xf numFmtId="10" fontId="14" fillId="0" borderId="75" xfId="6" applyNumberFormat="1" applyFont="1" applyFill="1" applyBorder="1" applyAlignment="1">
      <alignment horizontal="right" vertical="center" wrapText="1"/>
    </xf>
    <xf numFmtId="0" fontId="64" fillId="0" borderId="0" xfId="0" applyFont="1" applyAlignment="1">
      <alignment horizontal="center" vertical="center"/>
    </xf>
    <xf numFmtId="0" fontId="87" fillId="0" borderId="0" xfId="0" applyFont="1"/>
    <xf numFmtId="0" fontId="14" fillId="0" borderId="0" xfId="52" quotePrefix="1" applyFont="1" applyFill="1" applyBorder="1" applyAlignment="1">
      <alignment horizontal="left" vertical="center" wrapText="1"/>
    </xf>
    <xf numFmtId="4" fontId="14" fillId="0" borderId="78" xfId="6" applyNumberFormat="1" applyFont="1" applyFill="1" applyBorder="1" applyAlignment="1">
      <alignment horizontal="left" vertical="center" wrapText="1"/>
    </xf>
    <xf numFmtId="4" fontId="14" fillId="0" borderId="75" xfId="6" applyNumberFormat="1" applyFont="1" applyFill="1" applyBorder="1" applyAlignment="1">
      <alignment horizontal="left" vertical="center" wrapText="1"/>
    </xf>
    <xf numFmtId="0" fontId="19" fillId="0" borderId="0" xfId="52" quotePrefix="1" applyFont="1" applyFill="1" applyBorder="1" applyAlignment="1">
      <alignment horizontal="left" vertical="center" wrapText="1"/>
    </xf>
    <xf numFmtId="4" fontId="14" fillId="0" borderId="75" xfId="6" applyNumberFormat="1" applyFont="1" applyFill="1" applyBorder="1" applyAlignment="1">
      <alignment vertical="center" wrapText="1"/>
    </xf>
    <xf numFmtId="4" fontId="19" fillId="0" borderId="75" xfId="6" applyNumberFormat="1" applyFont="1" applyFill="1" applyBorder="1" applyAlignment="1">
      <alignment vertical="center" wrapText="1"/>
    </xf>
    <xf numFmtId="10" fontId="19" fillId="0" borderId="75" xfId="6" applyNumberFormat="1" applyFont="1" applyFill="1" applyBorder="1" applyAlignment="1">
      <alignment horizontal="right" vertical="center" wrapText="1"/>
    </xf>
    <xf numFmtId="0" fontId="23" fillId="0" borderId="82" xfId="0" applyFont="1" applyBorder="1" applyAlignment="1" applyProtection="1">
      <alignment horizontal="center" vertical="center"/>
    </xf>
    <xf numFmtId="43" fontId="14" fillId="0" borderId="78" xfId="49" applyFont="1" applyBorder="1" applyAlignment="1" applyProtection="1">
      <alignment horizontal="center" vertical="center" wrapText="1"/>
    </xf>
    <xf numFmtId="4" fontId="24" fillId="0" borderId="75" xfId="3" applyNumberFormat="1" applyFont="1" applyBorder="1" applyAlignment="1">
      <alignment horizontal="right" vertical="center" wrapText="1"/>
    </xf>
    <xf numFmtId="10" fontId="24" fillId="0" borderId="75" xfId="0" applyNumberFormat="1" applyFont="1" applyBorder="1" applyAlignment="1">
      <alignment vertical="center"/>
    </xf>
    <xf numFmtId="0" fontId="26" fillId="0" borderId="82" xfId="0" applyFont="1" applyBorder="1" applyAlignment="1" applyProtection="1">
      <alignment horizontal="left" vertical="center"/>
    </xf>
    <xf numFmtId="43" fontId="14" fillId="0" borderId="78" xfId="49" applyFont="1" applyBorder="1" applyAlignment="1" applyProtection="1">
      <alignment horizontal="left" vertical="center" wrapText="1"/>
    </xf>
    <xf numFmtId="4" fontId="26" fillId="0" borderId="75" xfId="3" applyNumberFormat="1" applyFont="1" applyBorder="1" applyAlignment="1">
      <alignment horizontal="left" vertical="center" wrapText="1"/>
    </xf>
    <xf numFmtId="4" fontId="26" fillId="0" borderId="75" xfId="0" applyNumberFormat="1" applyFont="1" applyBorder="1" applyAlignment="1">
      <alignment horizontal="left" vertical="center"/>
    </xf>
    <xf numFmtId="4" fontId="25" fillId="0" borderId="75" xfId="0" applyNumberFormat="1" applyFont="1" applyBorder="1" applyAlignment="1">
      <alignment horizontal="right" vertical="center"/>
    </xf>
    <xf numFmtId="10" fontId="25" fillId="0" borderId="75" xfId="0" applyNumberFormat="1" applyFont="1" applyBorder="1" applyAlignment="1">
      <alignment horizontal="right" vertical="center"/>
    </xf>
    <xf numFmtId="0" fontId="23" fillId="0" borderId="82" xfId="0" applyFont="1" applyFill="1" applyBorder="1" applyAlignment="1" applyProtection="1">
      <alignment horizontal="center" vertical="center"/>
    </xf>
    <xf numFmtId="43" fontId="75" fillId="0" borderId="0" xfId="49" applyFont="1" applyFill="1" applyBorder="1" applyAlignment="1" applyProtection="1">
      <alignment horizontal="center" vertical="center" wrapText="1"/>
    </xf>
    <xf numFmtId="43" fontId="14" fillId="0" borderId="78" xfId="49" applyFont="1" applyFill="1" applyBorder="1" applyAlignment="1" applyProtection="1">
      <alignment horizontal="center" vertical="center" wrapText="1"/>
    </xf>
    <xf numFmtId="43" fontId="23" fillId="0" borderId="0" xfId="49" applyFont="1" applyFill="1" applyBorder="1" applyAlignment="1" applyProtection="1">
      <alignment horizontal="center" vertical="center"/>
    </xf>
    <xf numFmtId="43" fontId="76" fillId="0" borderId="0" xfId="49" quotePrefix="1" applyFont="1" applyFill="1" applyBorder="1" applyAlignment="1">
      <alignment horizontal="left" vertical="center" wrapText="1"/>
    </xf>
    <xf numFmtId="4" fontId="24" fillId="0" borderId="75" xfId="3" applyNumberFormat="1" applyFont="1" applyFill="1" applyBorder="1" applyAlignment="1">
      <alignment horizontal="right" vertical="center" wrapText="1"/>
    </xf>
    <xf numFmtId="4" fontId="24" fillId="0" borderId="75" xfId="0" applyNumberFormat="1" applyFont="1" applyFill="1" applyBorder="1" applyAlignment="1">
      <alignment vertical="center"/>
    </xf>
    <xf numFmtId="10" fontId="24" fillId="0" borderId="75" xfId="0" applyNumberFormat="1" applyFont="1" applyFill="1" applyBorder="1" applyAlignment="1">
      <alignment vertical="center"/>
    </xf>
    <xf numFmtId="0" fontId="77" fillId="0" borderId="0" xfId="0" applyFont="1" applyFill="1" applyBorder="1" applyAlignment="1">
      <alignment horizontal="center" vertical="center"/>
    </xf>
    <xf numFmtId="0" fontId="64" fillId="0" borderId="0" xfId="0" applyFont="1" applyFill="1" applyBorder="1" applyAlignment="1">
      <alignment horizontal="center" vertical="center"/>
    </xf>
    <xf numFmtId="0" fontId="78" fillId="0" borderId="0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vertical="center"/>
    </xf>
    <xf numFmtId="43" fontId="26" fillId="0" borderId="0" xfId="49" quotePrefix="1" applyFont="1" applyFill="1" applyBorder="1" applyAlignment="1">
      <alignment horizontal="left" vertical="center" wrapText="1"/>
    </xf>
    <xf numFmtId="4" fontId="25" fillId="0" borderId="75" xfId="3" applyNumberFormat="1" applyFont="1" applyFill="1" applyBorder="1" applyAlignment="1">
      <alignment horizontal="right" vertical="center" wrapText="1"/>
    </xf>
    <xf numFmtId="4" fontId="25" fillId="0" borderId="75" xfId="0" applyNumberFormat="1" applyFont="1" applyFill="1" applyBorder="1" applyAlignment="1">
      <alignment vertical="center"/>
    </xf>
    <xf numFmtId="4" fontId="26" fillId="0" borderId="75" xfId="0" applyNumberFormat="1" applyFont="1" applyFill="1" applyBorder="1" applyAlignment="1">
      <alignment vertical="center"/>
    </xf>
    <xf numFmtId="10" fontId="26" fillId="0" borderId="75" xfId="0" applyNumberFormat="1" applyFont="1" applyFill="1" applyBorder="1" applyAlignment="1">
      <alignment vertical="center"/>
    </xf>
    <xf numFmtId="0" fontId="26" fillId="0" borderId="82" xfId="0" applyFont="1" applyFill="1" applyBorder="1" applyAlignment="1" applyProtection="1">
      <alignment horizontal="left" vertical="center"/>
    </xf>
    <xf numFmtId="43" fontId="26" fillId="0" borderId="0" xfId="49" applyFont="1" applyFill="1" applyBorder="1" applyAlignment="1" applyProtection="1">
      <alignment horizontal="left" vertical="center" wrapText="1"/>
    </xf>
    <xf numFmtId="43" fontId="14" fillId="0" borderId="78" xfId="49" applyFont="1" applyFill="1" applyBorder="1" applyAlignment="1" applyProtection="1">
      <alignment horizontal="left" vertical="center" wrapText="1"/>
    </xf>
    <xf numFmtId="43" fontId="26" fillId="0" borderId="0" xfId="49" applyFont="1" applyFill="1" applyBorder="1" applyAlignment="1" applyProtection="1">
      <alignment horizontal="left" vertical="center"/>
    </xf>
    <xf numFmtId="4" fontId="26" fillId="0" borderId="75" xfId="3" applyNumberFormat="1" applyFont="1" applyFill="1" applyBorder="1" applyAlignment="1">
      <alignment horizontal="left" vertical="center" wrapText="1"/>
    </xf>
    <xf numFmtId="4" fontId="26" fillId="0" borderId="75" xfId="0" applyNumberFormat="1" applyFont="1" applyFill="1" applyBorder="1" applyAlignment="1">
      <alignment horizontal="left" vertical="center"/>
    </xf>
    <xf numFmtId="4" fontId="26" fillId="0" borderId="75" xfId="0" applyNumberFormat="1" applyFont="1" applyFill="1" applyBorder="1" applyAlignment="1">
      <alignment horizontal="right" vertical="center"/>
    </xf>
    <xf numFmtId="10" fontId="26" fillId="0" borderId="75" xfId="0" applyNumberFormat="1" applyFont="1" applyFill="1" applyBorder="1" applyAlignment="1">
      <alignment horizontal="right" vertical="center"/>
    </xf>
    <xf numFmtId="0" fontId="79" fillId="0" borderId="0" xfId="0" applyFont="1" applyFill="1" applyBorder="1" applyAlignment="1">
      <alignment horizontal="center" vertical="center"/>
    </xf>
    <xf numFmtId="0" fontId="66" fillId="0" borderId="0" xfId="0" applyFont="1" applyFill="1" applyBorder="1" applyAlignment="1">
      <alignment horizontal="center" vertical="center"/>
    </xf>
    <xf numFmtId="0" fontId="80" fillId="0" borderId="0" xfId="0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left" vertical="center"/>
    </xf>
    <xf numFmtId="10" fontId="24" fillId="0" borderId="75" xfId="0" applyNumberFormat="1" applyFont="1" applyBorder="1" applyAlignment="1">
      <alignment horizontal="right" vertical="center"/>
    </xf>
    <xf numFmtId="4" fontId="26" fillId="0" borderId="75" xfId="0" applyNumberFormat="1" applyFont="1" applyBorder="1" applyAlignment="1">
      <alignment horizontal="right" vertical="center"/>
    </xf>
    <xf numFmtId="10" fontId="26" fillId="0" borderId="75" xfId="0" applyNumberFormat="1" applyFont="1" applyBorder="1" applyAlignment="1">
      <alignment horizontal="right" vertical="center"/>
    </xf>
    <xf numFmtId="4" fontId="26" fillId="0" borderId="75" xfId="0" applyNumberFormat="1" applyFont="1" applyBorder="1" applyAlignment="1">
      <alignment vertical="center"/>
    </xf>
    <xf numFmtId="1" fontId="15" fillId="0" borderId="75" xfId="5" applyNumberFormat="1" applyFont="1" applyBorder="1" applyAlignment="1" applyProtection="1">
      <alignment horizontal="center" vertical="center" wrapText="1"/>
    </xf>
    <xf numFmtId="1" fontId="14" fillId="0" borderId="75" xfId="5" applyNumberFormat="1" applyFont="1" applyBorder="1" applyAlignment="1" applyProtection="1">
      <alignment horizontal="center" vertical="center" wrapText="1"/>
    </xf>
    <xf numFmtId="1" fontId="5" fillId="0" borderId="59" xfId="3" applyNumberFormat="1" applyFont="1" applyBorder="1" applyAlignment="1">
      <alignment horizontal="center" vertical="center" wrapText="1"/>
    </xf>
    <xf numFmtId="4" fontId="14" fillId="0" borderId="59" xfId="3" applyNumberFormat="1" applyFont="1" applyBorder="1" applyAlignment="1">
      <alignment horizontal="right" vertical="center" wrapText="1"/>
    </xf>
    <xf numFmtId="4" fontId="15" fillId="0" borderId="59" xfId="3" applyNumberFormat="1" applyFont="1" applyBorder="1" applyAlignment="1">
      <alignment horizontal="right" vertical="center" wrapText="1"/>
    </xf>
    <xf numFmtId="43" fontId="23" fillId="0" borderId="0" xfId="49" applyFont="1" applyBorder="1" applyAlignment="1" applyProtection="1">
      <alignment horizontal="center" vertical="center" wrapText="1"/>
    </xf>
    <xf numFmtId="43" fontId="88" fillId="0" borderId="0" xfId="49" applyFont="1" applyBorder="1" applyAlignment="1">
      <alignment horizontal="left" vertical="center" wrapText="1"/>
    </xf>
    <xf numFmtId="4" fontId="23" fillId="0" borderId="75" xfId="3" applyNumberFormat="1" applyFont="1" applyBorder="1" applyAlignment="1">
      <alignment horizontal="right" vertical="center" wrapText="1"/>
    </xf>
    <xf numFmtId="4" fontId="23" fillId="0" borderId="75" xfId="0" applyNumberFormat="1" applyFont="1" applyBorder="1" applyAlignment="1">
      <alignment vertical="center"/>
    </xf>
    <xf numFmtId="10" fontId="23" fillId="0" borderId="75" xfId="0" applyNumberFormat="1" applyFont="1" applyBorder="1" applyAlignment="1">
      <alignment vertical="center"/>
    </xf>
    <xf numFmtId="0" fontId="77" fillId="0" borderId="0" xfId="0" applyFont="1" applyAlignment="1">
      <alignment horizontal="center" vertical="center"/>
    </xf>
    <xf numFmtId="0" fontId="78" fillId="0" borderId="0" xfId="0" applyFont="1" applyAlignment="1">
      <alignment horizontal="center" vertical="center"/>
    </xf>
    <xf numFmtId="0" fontId="23" fillId="0" borderId="0" xfId="0" applyFont="1" applyAlignment="1">
      <alignment vertical="center"/>
    </xf>
    <xf numFmtId="0" fontId="22" fillId="0" borderId="78" xfId="0" applyFont="1" applyBorder="1" applyAlignment="1" applyProtection="1">
      <alignment horizontal="center" vertical="center"/>
    </xf>
    <xf numFmtId="0" fontId="19" fillId="0" borderId="71" xfId="0" applyFont="1" applyBorder="1" applyAlignment="1">
      <alignment horizontal="center" vertical="center" wrapText="1"/>
    </xf>
    <xf numFmtId="0" fontId="19" fillId="0" borderId="76" xfId="0" applyFont="1" applyBorder="1" applyAlignment="1">
      <alignment horizontal="center" vertical="center" wrapText="1"/>
    </xf>
    <xf numFmtId="0" fontId="22" fillId="0" borderId="0" xfId="0" quotePrefix="1" applyFont="1" applyBorder="1" applyAlignment="1">
      <alignment horizontal="center" vertical="center"/>
    </xf>
    <xf numFmtId="49" fontId="19" fillId="0" borderId="0" xfId="0" applyNumberFormat="1" applyFont="1" applyBorder="1" applyAlignment="1">
      <alignment horizontal="left" vertical="center" wrapText="1"/>
    </xf>
    <xf numFmtId="4" fontId="19" fillId="0" borderId="71" xfId="0" applyNumberFormat="1" applyFont="1" applyBorder="1" applyAlignment="1">
      <alignment horizontal="center" vertical="center"/>
    </xf>
    <xf numFmtId="4" fontId="19" fillId="0" borderId="76" xfId="0" applyNumberFormat="1" applyFont="1" applyBorder="1" applyAlignment="1">
      <alignment horizontal="center" vertical="center"/>
    </xf>
    <xf numFmtId="4" fontId="19" fillId="0" borderId="71" xfId="0" applyNumberFormat="1" applyFont="1" applyBorder="1" applyAlignment="1">
      <alignment vertical="center"/>
    </xf>
    <xf numFmtId="10" fontId="19" fillId="0" borderId="0" xfId="0" applyNumberFormat="1" applyFont="1" applyBorder="1" applyAlignment="1">
      <alignment horizontal="right" vertical="center"/>
    </xf>
    <xf numFmtId="4" fontId="19" fillId="0" borderId="76" xfId="0" applyNumberFormat="1" applyFont="1" applyBorder="1" applyAlignment="1">
      <alignment horizontal="right" vertical="center"/>
    </xf>
    <xf numFmtId="4" fontId="19" fillId="0" borderId="71" xfId="0" applyNumberFormat="1" applyFont="1" applyFill="1" applyBorder="1" applyAlignment="1">
      <alignment horizontal="right" vertical="center"/>
    </xf>
    <xf numFmtId="4" fontId="19" fillId="0" borderId="71" xfId="0" applyNumberFormat="1" applyFont="1" applyBorder="1" applyAlignment="1">
      <alignment horizontal="right" vertical="center"/>
    </xf>
    <xf numFmtId="4" fontId="89" fillId="0" borderId="0" xfId="0" applyNumberFormat="1" applyFont="1" applyBorder="1" applyAlignment="1">
      <alignment horizontal="center" vertical="center"/>
    </xf>
    <xf numFmtId="0" fontId="67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4" fontId="24" fillId="0" borderId="78" xfId="0" applyNumberFormat="1" applyFont="1" applyFill="1" applyBorder="1" applyAlignment="1">
      <alignment vertical="center"/>
    </xf>
    <xf numFmtId="4" fontId="24" fillId="0" borderId="74" xfId="0" applyNumberFormat="1" applyFont="1" applyFill="1" applyBorder="1" applyAlignment="1">
      <alignment vertical="center"/>
    </xf>
    <xf numFmtId="43" fontId="23" fillId="0" borderId="0" xfId="49" applyFont="1" applyFill="1" applyBorder="1" applyAlignment="1" applyProtection="1">
      <alignment horizontal="center" vertical="center" wrapText="1"/>
    </xf>
    <xf numFmtId="43" fontId="88" fillId="0" borderId="0" xfId="49" applyFont="1" applyFill="1" applyBorder="1" applyAlignment="1">
      <alignment horizontal="left" vertical="center" wrapText="1"/>
    </xf>
    <xf numFmtId="4" fontId="23" fillId="0" borderId="75" xfId="3" applyNumberFormat="1" applyFont="1" applyFill="1" applyBorder="1" applyAlignment="1">
      <alignment horizontal="right" vertical="center" wrapText="1"/>
    </xf>
    <xf numFmtId="4" fontId="23" fillId="0" borderId="75" xfId="0" applyNumberFormat="1" applyFont="1" applyFill="1" applyBorder="1" applyAlignment="1">
      <alignment vertical="center"/>
    </xf>
    <xf numFmtId="4" fontId="23" fillId="0" borderId="78" xfId="0" applyNumberFormat="1" applyFont="1" applyFill="1" applyBorder="1" applyAlignment="1">
      <alignment vertical="center"/>
    </xf>
    <xf numFmtId="4" fontId="23" fillId="0" borderId="74" xfId="0" applyNumberFormat="1" applyFont="1" applyFill="1" applyBorder="1" applyAlignment="1">
      <alignment vertical="center"/>
    </xf>
    <xf numFmtId="10" fontId="23" fillId="0" borderId="75" xfId="0" applyNumberFormat="1" applyFont="1" applyFill="1" applyBorder="1" applyAlignment="1">
      <alignment vertical="center"/>
    </xf>
    <xf numFmtId="0" fontId="77" fillId="0" borderId="0" xfId="0" applyFont="1" applyFill="1" applyAlignment="1">
      <alignment horizontal="center" vertical="center"/>
    </xf>
    <xf numFmtId="0" fontId="78" fillId="0" borderId="0" xfId="0" applyFont="1" applyFill="1" applyAlignment="1">
      <alignment horizontal="center" vertical="center"/>
    </xf>
    <xf numFmtId="0" fontId="23" fillId="0" borderId="0" xfId="0" applyFont="1" applyFill="1" applyAlignment="1">
      <alignment vertical="center"/>
    </xf>
    <xf numFmtId="4" fontId="24" fillId="0" borderId="75" xfId="0" applyNumberFormat="1" applyFont="1" applyBorder="1" applyAlignment="1">
      <alignment vertical="center"/>
    </xf>
    <xf numFmtId="0" fontId="19" fillId="0" borderId="76" xfId="0" applyFont="1" applyBorder="1" applyAlignment="1">
      <alignment horizontal="center" vertical="center"/>
    </xf>
    <xf numFmtId="4" fontId="19" fillId="0" borderId="77" xfId="0" applyNumberFormat="1" applyFont="1" applyBorder="1" applyAlignment="1">
      <alignment horizontal="right" vertical="center"/>
    </xf>
    <xf numFmtId="4" fontId="25" fillId="0" borderId="75" xfId="3" applyNumberFormat="1" applyFont="1" applyBorder="1" applyAlignment="1">
      <alignment horizontal="right" vertical="center" wrapText="1"/>
    </xf>
    <xf numFmtId="10" fontId="25" fillId="0" borderId="75" xfId="0" applyNumberFormat="1" applyFont="1" applyBorder="1" applyAlignment="1">
      <alignment vertical="center"/>
    </xf>
    <xf numFmtId="4" fontId="25" fillId="0" borderId="75" xfId="0" applyNumberFormat="1" applyFont="1" applyBorder="1" applyAlignment="1">
      <alignment vertical="center"/>
    </xf>
    <xf numFmtId="4" fontId="25" fillId="0" borderId="74" xfId="0" applyNumberFormat="1" applyFont="1" applyFill="1" applyBorder="1" applyAlignment="1">
      <alignment vertical="center"/>
    </xf>
    <xf numFmtId="10" fontId="25" fillId="0" borderId="75" xfId="0" applyNumberFormat="1" applyFont="1" applyFill="1" applyBorder="1" applyAlignment="1">
      <alignment vertical="center"/>
    </xf>
    <xf numFmtId="1" fontId="14" fillId="0" borderId="20" xfId="5" applyNumberFormat="1" applyFont="1" applyBorder="1" applyAlignment="1" applyProtection="1">
      <alignment horizontal="center" vertical="center" wrapText="1"/>
    </xf>
    <xf numFmtId="1" fontId="5" fillId="0" borderId="22" xfId="3" applyNumberFormat="1" applyFont="1" applyBorder="1" applyAlignment="1">
      <alignment horizontal="center" vertical="center" wrapText="1"/>
    </xf>
    <xf numFmtId="0" fontId="14" fillId="0" borderId="78" xfId="2" applyFont="1" applyBorder="1" applyAlignment="1" applyProtection="1">
      <alignment horizontal="left" vertical="center"/>
    </xf>
    <xf numFmtId="1" fontId="14" fillId="0" borderId="75" xfId="2" applyNumberFormat="1" applyFont="1" applyBorder="1" applyAlignment="1" applyProtection="1">
      <alignment horizontal="left" vertical="center"/>
    </xf>
    <xf numFmtId="0" fontId="15" fillId="0" borderId="78" xfId="4" applyFont="1" applyFill="1" applyBorder="1" applyAlignment="1">
      <alignment horizontal="center" vertical="center" wrapText="1"/>
    </xf>
    <xf numFmtId="4" fontId="89" fillId="0" borderId="78" xfId="3" applyNumberFormat="1" applyFont="1" applyBorder="1" applyAlignment="1">
      <alignment horizontal="center" vertical="center" wrapText="1"/>
    </xf>
    <xf numFmtId="0" fontId="67" fillId="0" borderId="0" xfId="2" applyFont="1" applyBorder="1" applyAlignment="1">
      <alignment horizontal="center" vertical="center"/>
    </xf>
    <xf numFmtId="0" fontId="35" fillId="0" borderId="59" xfId="0" applyFont="1" applyBorder="1" applyAlignment="1">
      <alignment horizontal="left" vertical="center" wrapText="1"/>
    </xf>
    <xf numFmtId="1" fontId="14" fillId="0" borderId="8" xfId="3" applyNumberFormat="1" applyFont="1" applyBorder="1" applyAlignment="1">
      <alignment horizontal="center" vertical="center" wrapText="1"/>
    </xf>
    <xf numFmtId="0" fontId="14" fillId="0" borderId="12" xfId="3" applyFont="1" applyBorder="1" applyAlignment="1">
      <alignment horizontal="center" vertical="center" wrapText="1"/>
    </xf>
    <xf numFmtId="0" fontId="66" fillId="0" borderId="0" xfId="2" applyFont="1" applyBorder="1" applyAlignment="1">
      <alignment horizontal="center" vertical="center" wrapText="1"/>
    </xf>
    <xf numFmtId="1" fontId="14" fillId="0" borderId="29" xfId="3" applyNumberFormat="1" applyFont="1" applyBorder="1" applyAlignment="1">
      <alignment horizontal="center" vertical="center" wrapText="1"/>
    </xf>
    <xf numFmtId="0" fontId="14" fillId="0" borderId="27" xfId="3" applyFont="1" applyBorder="1" applyAlignment="1">
      <alignment horizontal="center" vertical="center" wrapText="1"/>
    </xf>
    <xf numFmtId="0" fontId="14" fillId="0" borderId="78" xfId="2" applyFont="1" applyBorder="1" applyAlignment="1" applyProtection="1">
      <alignment horizontal="center" vertical="center"/>
    </xf>
    <xf numFmtId="1" fontId="14" fillId="0" borderId="75" xfId="2" applyNumberFormat="1" applyFont="1" applyBorder="1" applyAlignment="1" applyProtection="1">
      <alignment horizontal="center" vertical="center"/>
    </xf>
    <xf numFmtId="1" fontId="5" fillId="3" borderId="58" xfId="3" applyNumberFormat="1" applyFont="1" applyFill="1" applyBorder="1" applyAlignment="1">
      <alignment horizontal="center" vertical="center" wrapText="1"/>
    </xf>
    <xf numFmtId="1" fontId="5" fillId="0" borderId="29" xfId="3" applyNumberFormat="1" applyFont="1" applyBorder="1" applyAlignment="1">
      <alignment horizontal="center" vertical="center" wrapText="1"/>
    </xf>
    <xf numFmtId="4" fontId="14" fillId="0" borderId="27" xfId="3" applyNumberFormat="1" applyFont="1" applyBorder="1" applyAlignment="1">
      <alignment horizontal="center" vertical="center" wrapText="1"/>
    </xf>
    <xf numFmtId="4" fontId="14" fillId="3" borderId="59" xfId="3" applyNumberFormat="1" applyFont="1" applyFill="1" applyBorder="1" applyAlignment="1">
      <alignment horizontal="center" vertical="center" wrapText="1"/>
    </xf>
    <xf numFmtId="43" fontId="14" fillId="0" borderId="8" xfId="49" applyFont="1" applyBorder="1" applyAlignment="1" applyProtection="1">
      <alignment horizontal="left" vertical="center" wrapText="1"/>
    </xf>
    <xf numFmtId="43" fontId="26" fillId="0" borderId="12" xfId="49" applyFont="1" applyBorder="1" applyAlignment="1" applyProtection="1">
      <alignment horizontal="left" vertical="center"/>
    </xf>
    <xf numFmtId="1" fontId="14" fillId="0" borderId="78" xfId="3" applyNumberFormat="1" applyFont="1" applyFill="1" applyBorder="1" applyAlignment="1">
      <alignment horizontal="center" vertical="center" wrapText="1"/>
    </xf>
    <xf numFmtId="0" fontId="14" fillId="0" borderId="0" xfId="2" applyFont="1" applyBorder="1" applyAlignment="1">
      <alignment horizontal="center" vertical="center"/>
    </xf>
    <xf numFmtId="0" fontId="90" fillId="0" borderId="0" xfId="2" applyFont="1" applyFill="1" applyBorder="1" applyAlignment="1">
      <alignment horizontal="center" vertical="center"/>
    </xf>
    <xf numFmtId="0" fontId="14" fillId="0" borderId="59" xfId="0" applyFont="1" applyBorder="1" applyAlignment="1">
      <alignment vertical="center" wrapText="1"/>
    </xf>
    <xf numFmtId="0" fontId="15" fillId="0" borderId="78" xfId="6" applyFont="1" applyFill="1" applyBorder="1" applyAlignment="1">
      <alignment horizontal="left" vertical="center" wrapText="1"/>
    </xf>
    <xf numFmtId="0" fontId="64" fillId="0" borderId="0" xfId="2" applyFont="1" applyFill="1" applyBorder="1" applyAlignment="1">
      <alignment horizontal="center" vertical="center"/>
    </xf>
    <xf numFmtId="0" fontId="17" fillId="0" borderId="0" xfId="2" applyFont="1" applyFill="1" applyBorder="1" applyAlignment="1">
      <alignment vertical="center"/>
    </xf>
    <xf numFmtId="4" fontId="15" fillId="0" borderId="58" xfId="6" applyNumberFormat="1" applyFont="1" applyFill="1" applyBorder="1" applyAlignment="1">
      <alignment horizontal="right" vertical="center" wrapText="1"/>
    </xf>
    <xf numFmtId="1" fontId="14" fillId="0" borderId="75" xfId="6" applyNumberFormat="1" applyFont="1" applyFill="1" applyBorder="1" applyAlignment="1">
      <alignment horizontal="center" vertical="center" wrapText="1"/>
    </xf>
    <xf numFmtId="0" fontId="14" fillId="0" borderId="37" xfId="2" applyFont="1" applyBorder="1" applyAlignment="1" applyProtection="1">
      <alignment horizontal="left" vertical="center" wrapText="1"/>
    </xf>
    <xf numFmtId="0" fontId="14" fillId="0" borderId="64" xfId="2" applyFont="1" applyBorder="1" applyAlignment="1" applyProtection="1">
      <alignment horizontal="left" vertical="center" wrapText="1"/>
    </xf>
    <xf numFmtId="0" fontId="23" fillId="0" borderId="64" xfId="0" applyNumberFormat="1" applyFont="1" applyFill="1" applyBorder="1" applyAlignment="1">
      <alignment horizontal="left" vertical="center" wrapText="1"/>
    </xf>
    <xf numFmtId="0" fontId="14" fillId="0" borderId="27" xfId="2" applyFont="1" applyBorder="1" applyAlignment="1" applyProtection="1">
      <alignment horizontal="center" vertical="center"/>
    </xf>
    <xf numFmtId="1" fontId="5" fillId="0" borderId="78" xfId="2" applyNumberFormat="1" applyFont="1" applyBorder="1" applyAlignment="1" applyProtection="1">
      <alignment horizontal="center" vertical="center"/>
    </xf>
    <xf numFmtId="0" fontId="14" fillId="0" borderId="75" xfId="2" applyFont="1" applyBorder="1" applyAlignment="1" applyProtection="1">
      <alignment horizontal="left" vertical="center"/>
    </xf>
    <xf numFmtId="1" fontId="14" fillId="0" borderId="35" xfId="2" applyNumberFormat="1" applyFont="1" applyBorder="1" applyAlignment="1" applyProtection="1">
      <alignment horizontal="left" vertical="center"/>
    </xf>
    <xf numFmtId="0" fontId="19" fillId="0" borderId="78" xfId="2" applyFont="1" applyBorder="1" applyAlignment="1" applyProtection="1">
      <alignment horizontal="right" vertical="center" wrapText="1"/>
    </xf>
    <xf numFmtId="0" fontId="14" fillId="0" borderId="0" xfId="2" applyFont="1" applyBorder="1" applyAlignment="1">
      <alignment horizontal="left" vertical="center"/>
    </xf>
    <xf numFmtId="1" fontId="14" fillId="0" borderId="78" xfId="2" applyNumberFormat="1" applyFont="1" applyBorder="1" applyAlignment="1" applyProtection="1">
      <alignment horizontal="center" vertical="center"/>
    </xf>
    <xf numFmtId="1" fontId="14" fillId="0" borderId="0" xfId="2" applyNumberFormat="1" applyFont="1" applyBorder="1" applyAlignment="1" applyProtection="1">
      <alignment horizontal="center" vertical="center"/>
    </xf>
    <xf numFmtId="0" fontId="84" fillId="0" borderId="0" xfId="2" applyFont="1" applyBorder="1" applyAlignment="1">
      <alignment horizontal="center" vertical="center"/>
    </xf>
    <xf numFmtId="1" fontId="5" fillId="0" borderId="78" xfId="3" applyNumberFormat="1" applyFont="1" applyBorder="1" applyAlignment="1">
      <alignment horizontal="center" vertical="center" wrapText="1"/>
    </xf>
    <xf numFmtId="1" fontId="5" fillId="0" borderId="8" xfId="2" applyNumberFormat="1" applyFont="1" applyFill="1" applyBorder="1" applyAlignment="1" applyProtection="1">
      <alignment horizontal="center" vertical="center"/>
    </xf>
    <xf numFmtId="0" fontId="14" fillId="0" borderId="12" xfId="3" quotePrefix="1" applyFont="1" applyFill="1" applyBorder="1" applyAlignment="1">
      <alignment horizontal="center" vertical="center" wrapText="1"/>
    </xf>
    <xf numFmtId="4" fontId="34" fillId="0" borderId="1" xfId="3" applyNumberFormat="1" applyFont="1" applyBorder="1" applyAlignment="1">
      <alignment horizontal="right" vertical="center" wrapText="1"/>
    </xf>
    <xf numFmtId="10" fontId="34" fillId="0" borderId="1" xfId="3" applyNumberFormat="1" applyFont="1" applyBorder="1" applyAlignment="1">
      <alignment horizontal="right" vertical="center" wrapText="1"/>
    </xf>
    <xf numFmtId="0" fontId="19" fillId="0" borderId="12" xfId="3" applyFont="1" applyBorder="1" applyAlignment="1">
      <alignment horizontal="left" vertical="center" wrapText="1"/>
    </xf>
    <xf numFmtId="0" fontId="19" fillId="0" borderId="27" xfId="3" applyFont="1" applyBorder="1" applyAlignment="1">
      <alignment horizontal="left" vertical="center" wrapText="1"/>
    </xf>
    <xf numFmtId="0" fontId="19" fillId="0" borderId="27" xfId="2" applyFont="1" applyBorder="1" applyAlignment="1" applyProtection="1">
      <alignment horizontal="left" vertical="center" wrapText="1"/>
    </xf>
    <xf numFmtId="0" fontId="19" fillId="0" borderId="0" xfId="3" applyFont="1" applyBorder="1" applyAlignment="1">
      <alignment horizontal="left" vertical="center" wrapText="1"/>
    </xf>
    <xf numFmtId="1" fontId="5" fillId="0" borderId="78" xfId="5" applyNumberFormat="1" applyFont="1" applyFill="1" applyBorder="1" applyAlignment="1" applyProtection="1">
      <alignment horizontal="center" vertical="center"/>
    </xf>
    <xf numFmtId="4" fontId="14" fillId="0" borderId="78" xfId="5" applyNumberFormat="1" applyFont="1" applyFill="1" applyBorder="1" applyAlignment="1" applyProtection="1">
      <alignment horizontal="right" vertical="center" wrapText="1"/>
    </xf>
    <xf numFmtId="4" fontId="15" fillId="0" borderId="78" xfId="5" applyNumberFormat="1" applyFont="1" applyFill="1" applyBorder="1" applyAlignment="1" applyProtection="1">
      <alignment horizontal="right" vertical="center"/>
    </xf>
    <xf numFmtId="4" fontId="14" fillId="0" borderId="78" xfId="5" applyNumberFormat="1" applyFont="1" applyFill="1" applyBorder="1" applyAlignment="1" applyProtection="1">
      <alignment horizontal="right" vertical="center"/>
    </xf>
    <xf numFmtId="4" fontId="14" fillId="0" borderId="75" xfId="5" applyNumberFormat="1" applyFont="1" applyFill="1" applyBorder="1" applyAlignment="1" applyProtection="1">
      <alignment horizontal="right" vertical="center"/>
    </xf>
    <xf numFmtId="10" fontId="14" fillId="0" borderId="75" xfId="5" applyNumberFormat="1" applyFont="1" applyFill="1" applyBorder="1" applyAlignment="1" applyProtection="1">
      <alignment horizontal="right" vertical="center"/>
    </xf>
    <xf numFmtId="1" fontId="5" fillId="0" borderId="62" xfId="5" applyNumberFormat="1" applyFont="1" applyFill="1" applyBorder="1" applyAlignment="1" applyProtection="1">
      <alignment horizontal="center" vertical="center"/>
    </xf>
    <xf numFmtId="4" fontId="14" fillId="0" borderId="63" xfId="5" applyNumberFormat="1" applyFont="1" applyFill="1" applyBorder="1" applyAlignment="1" applyProtection="1">
      <alignment horizontal="center" vertical="center"/>
    </xf>
    <xf numFmtId="4" fontId="14" fillId="0" borderId="63" xfId="5" applyNumberFormat="1" applyFont="1" applyFill="1" applyBorder="1" applyAlignment="1" applyProtection="1">
      <alignment horizontal="left" vertical="center" wrapText="1"/>
    </xf>
    <xf numFmtId="4" fontId="14" fillId="0" borderId="62" xfId="5" applyNumberFormat="1" applyFont="1" applyFill="1" applyBorder="1" applyAlignment="1" applyProtection="1">
      <alignment horizontal="right" vertical="center" wrapText="1"/>
    </xf>
    <xf numFmtId="4" fontId="14" fillId="0" borderId="61" xfId="5" applyNumberFormat="1" applyFont="1" applyFill="1" applyBorder="1" applyAlignment="1" applyProtection="1">
      <alignment horizontal="right" vertical="center" wrapText="1"/>
    </xf>
    <xf numFmtId="4" fontId="15" fillId="0" borderId="61" xfId="5" applyNumberFormat="1" applyFont="1" applyFill="1" applyBorder="1" applyAlignment="1" applyProtection="1">
      <alignment horizontal="right" vertical="center"/>
    </xf>
    <xf numFmtId="4" fontId="14" fillId="0" borderId="61" xfId="5" applyNumberFormat="1" applyFont="1" applyFill="1" applyBorder="1" applyAlignment="1" applyProtection="1">
      <alignment horizontal="right" vertical="center"/>
    </xf>
    <xf numFmtId="10" fontId="14" fillId="0" borderId="61" xfId="5" applyNumberFormat="1" applyFont="1" applyFill="1" applyBorder="1" applyAlignment="1" applyProtection="1">
      <alignment horizontal="right" vertical="center"/>
    </xf>
    <xf numFmtId="4" fontId="15" fillId="0" borderId="62" xfId="5" applyNumberFormat="1" applyFont="1" applyFill="1" applyBorder="1" applyAlignment="1" applyProtection="1">
      <alignment horizontal="right" vertical="center"/>
    </xf>
    <xf numFmtId="4" fontId="14" fillId="0" borderId="62" xfId="5" applyNumberFormat="1" applyFont="1" applyFill="1" applyBorder="1" applyAlignment="1" applyProtection="1">
      <alignment horizontal="right" vertical="center"/>
    </xf>
    <xf numFmtId="0" fontId="4" fillId="0" borderId="0" xfId="2" applyFont="1" applyBorder="1" applyAlignment="1">
      <alignment horizontal="center" vertical="center"/>
    </xf>
    <xf numFmtId="4" fontId="14" fillId="0" borderId="78" xfId="2" applyNumberFormat="1" applyFont="1" applyBorder="1" applyAlignment="1" applyProtection="1">
      <alignment horizontal="right" vertical="center" wrapText="1"/>
    </xf>
    <xf numFmtId="0" fontId="24" fillId="0" borderId="33" xfId="0" applyNumberFormat="1" applyFont="1" applyFill="1" applyBorder="1" applyAlignment="1" applyProtection="1">
      <alignment horizontal="left" vertical="center" wrapText="1"/>
    </xf>
    <xf numFmtId="0" fontId="5" fillId="3" borderId="58" xfId="3" applyFont="1" applyFill="1" applyBorder="1" applyAlignment="1">
      <alignment horizontal="center" vertical="center" wrapText="1"/>
    </xf>
    <xf numFmtId="0" fontId="19" fillId="0" borderId="78" xfId="2" applyFont="1" applyBorder="1" applyAlignment="1" applyProtection="1">
      <alignment horizontal="center" vertical="center"/>
    </xf>
    <xf numFmtId="1" fontId="19" fillId="0" borderId="75" xfId="2" applyNumberFormat="1" applyFont="1" applyBorder="1" applyAlignment="1" applyProtection="1">
      <alignment horizontal="left" vertical="center"/>
    </xf>
    <xf numFmtId="4" fontId="14" fillId="0" borderId="60" xfId="3" applyNumberFormat="1" applyFont="1" applyFill="1" applyBorder="1" applyAlignment="1">
      <alignment horizontal="right" vertical="center" wrapText="1"/>
    </xf>
    <xf numFmtId="10" fontId="14" fillId="0" borderId="60" xfId="3" applyNumberFormat="1" applyFont="1" applyFill="1" applyBorder="1" applyAlignment="1">
      <alignment horizontal="right" vertical="center" wrapText="1"/>
    </xf>
    <xf numFmtId="0" fontId="19" fillId="0" borderId="0" xfId="0" applyFont="1" applyFill="1" applyBorder="1" applyAlignment="1">
      <alignment horizontal="right" vertical="center" wrapText="1"/>
    </xf>
    <xf numFmtId="0" fontId="19" fillId="0" borderId="75" xfId="0" applyFont="1" applyFill="1" applyBorder="1" applyAlignment="1">
      <alignment horizontal="right" vertical="center" wrapText="1"/>
    </xf>
    <xf numFmtId="165" fontId="14" fillId="0" borderId="75" xfId="0" applyNumberFormat="1" applyFont="1" applyFill="1" applyBorder="1" applyAlignment="1">
      <alignment horizontal="right" vertical="center" wrapText="1"/>
    </xf>
    <xf numFmtId="4" fontId="14" fillId="0" borderId="75" xfId="3" applyNumberFormat="1" applyFont="1" applyFill="1" applyBorder="1" applyAlignment="1">
      <alignment horizontal="right" vertical="center" wrapText="1"/>
    </xf>
    <xf numFmtId="10" fontId="14" fillId="0" borderId="75" xfId="3" applyNumberFormat="1" applyFont="1" applyFill="1" applyBorder="1" applyAlignment="1">
      <alignment horizontal="right" vertical="center" wrapText="1"/>
    </xf>
    <xf numFmtId="0" fontId="19" fillId="0" borderId="35" xfId="0" applyFont="1" applyFill="1" applyBorder="1" applyAlignment="1">
      <alignment horizontal="left" vertical="center" wrapText="1"/>
    </xf>
    <xf numFmtId="1" fontId="19" fillId="0" borderId="75" xfId="2" applyNumberFormat="1" applyFont="1" applyBorder="1" applyAlignment="1" applyProtection="1">
      <alignment horizontal="center" vertical="center"/>
    </xf>
    <xf numFmtId="4" fontId="19" fillId="0" borderId="58" xfId="2" applyNumberFormat="1" applyFont="1" applyBorder="1" applyAlignment="1" applyProtection="1">
      <alignment horizontal="right" vertical="center" wrapText="1"/>
    </xf>
    <xf numFmtId="4" fontId="19" fillId="0" borderId="60" xfId="2" applyNumberFormat="1" applyFont="1" applyBorder="1" applyAlignment="1" applyProtection="1">
      <alignment horizontal="right" vertical="center" wrapText="1"/>
    </xf>
    <xf numFmtId="4" fontId="14" fillId="0" borderId="60" xfId="1" applyNumberFormat="1" applyFont="1" applyFill="1" applyBorder="1" applyAlignment="1" applyProtection="1">
      <alignment horizontal="right" vertical="center" wrapText="1"/>
    </xf>
    <xf numFmtId="4" fontId="19" fillId="0" borderId="8" xfId="2" applyNumberFormat="1" applyFont="1" applyBorder="1" applyAlignment="1" applyProtection="1">
      <alignment horizontal="right" vertical="center" wrapText="1"/>
    </xf>
    <xf numFmtId="0" fontId="19" fillId="0" borderId="75" xfId="2" applyFont="1" applyBorder="1" applyAlignment="1" applyProtection="1">
      <alignment horizontal="center" vertical="center"/>
    </xf>
    <xf numFmtId="1" fontId="5" fillId="3" borderId="78" xfId="2" applyNumberFormat="1" applyFont="1" applyFill="1" applyBorder="1" applyAlignment="1" applyProtection="1">
      <alignment horizontal="center" vertical="center"/>
    </xf>
    <xf numFmtId="49" fontId="19" fillId="3" borderId="0" xfId="3" applyNumberFormat="1" applyFont="1" applyFill="1" applyBorder="1" applyAlignment="1">
      <alignment horizontal="center" vertical="center" wrapText="1"/>
    </xf>
    <xf numFmtId="4" fontId="19" fillId="0" borderId="75" xfId="2" applyNumberFormat="1" applyFont="1" applyBorder="1" applyAlignment="1" applyProtection="1">
      <alignment horizontal="right" vertical="center" wrapText="1"/>
    </xf>
    <xf numFmtId="4" fontId="14" fillId="0" borderId="75" xfId="1" applyNumberFormat="1" applyFont="1" applyFill="1" applyBorder="1" applyAlignment="1" applyProtection="1">
      <alignment horizontal="right" vertical="center" wrapText="1"/>
    </xf>
    <xf numFmtId="4" fontId="14" fillId="0" borderId="75" xfId="2" applyNumberFormat="1" applyFont="1" applyBorder="1" applyAlignment="1" applyProtection="1">
      <alignment horizontal="right" vertical="center"/>
    </xf>
    <xf numFmtId="10" fontId="14" fillId="0" borderId="75" xfId="2" applyNumberFormat="1" applyFont="1" applyBorder="1" applyAlignment="1" applyProtection="1">
      <alignment horizontal="right" vertical="center"/>
    </xf>
    <xf numFmtId="4" fontId="19" fillId="0" borderId="8" xfId="1" applyNumberFormat="1" applyFont="1" applyFill="1" applyBorder="1" applyAlignment="1" applyProtection="1">
      <alignment horizontal="right" vertical="center" wrapText="1"/>
    </xf>
    <xf numFmtId="4" fontId="19" fillId="0" borderId="7" xfId="2" applyNumberFormat="1" applyFont="1" applyBorder="1" applyAlignment="1" applyProtection="1">
      <alignment horizontal="right" vertical="center"/>
    </xf>
    <xf numFmtId="10" fontId="19" fillId="0" borderId="7" xfId="2" applyNumberFormat="1" applyFont="1" applyBorder="1" applyAlignment="1" applyProtection="1">
      <alignment horizontal="right" vertical="center"/>
    </xf>
    <xf numFmtId="1" fontId="20" fillId="0" borderId="12" xfId="2" applyNumberFormat="1" applyFont="1" applyFill="1" applyBorder="1" applyAlignment="1" applyProtection="1">
      <alignment horizontal="center" vertical="center"/>
    </xf>
    <xf numFmtId="49" fontId="19" fillId="0" borderId="12" xfId="3" applyNumberFormat="1" applyFont="1" applyFill="1" applyBorder="1" applyAlignment="1">
      <alignment horizontal="center" vertical="center" wrapText="1"/>
    </xf>
    <xf numFmtId="49" fontId="19" fillId="29" borderId="27" xfId="3" applyNumberFormat="1" applyFont="1" applyFill="1" applyBorder="1" applyAlignment="1">
      <alignment horizontal="center" vertical="center" wrapText="1"/>
    </xf>
    <xf numFmtId="4" fontId="19" fillId="0" borderId="29" xfId="2" applyNumberFormat="1" applyFont="1" applyBorder="1" applyAlignment="1" applyProtection="1">
      <alignment horizontal="right" vertical="center" wrapText="1"/>
    </xf>
    <xf numFmtId="4" fontId="19" fillId="0" borderId="28" xfId="2" applyNumberFormat="1" applyFont="1" applyBorder="1" applyAlignment="1" applyProtection="1">
      <alignment horizontal="right" vertical="center" wrapText="1"/>
    </xf>
    <xf numFmtId="1" fontId="5" fillId="29" borderId="58" xfId="2" applyNumberFormat="1" applyFont="1" applyFill="1" applyBorder="1" applyAlignment="1" applyProtection="1">
      <alignment horizontal="center" vertical="center"/>
    </xf>
    <xf numFmtId="49" fontId="19" fillId="29" borderId="59" xfId="3" applyNumberFormat="1" applyFont="1" applyFill="1" applyBorder="1" applyAlignment="1">
      <alignment horizontal="center" vertical="center" wrapText="1"/>
    </xf>
    <xf numFmtId="1" fontId="20" fillId="29" borderId="29" xfId="2" applyNumberFormat="1" applyFont="1" applyFill="1" applyBorder="1" applyAlignment="1" applyProtection="1">
      <alignment horizontal="center" vertical="center"/>
    </xf>
    <xf numFmtId="4" fontId="19" fillId="0" borderId="28" xfId="1" applyNumberFormat="1" applyFont="1" applyFill="1" applyBorder="1" applyAlignment="1" applyProtection="1">
      <alignment horizontal="right" vertical="center" wrapText="1"/>
    </xf>
    <xf numFmtId="4" fontId="19" fillId="0" borderId="28" xfId="2" applyNumberFormat="1" applyFont="1" applyBorder="1" applyAlignment="1" applyProtection="1">
      <alignment horizontal="right" vertical="center"/>
    </xf>
    <xf numFmtId="10" fontId="19" fillId="0" borderId="28" xfId="2" applyNumberFormat="1" applyFont="1" applyBorder="1" applyAlignment="1" applyProtection="1">
      <alignment horizontal="right" vertical="center"/>
    </xf>
    <xf numFmtId="49" fontId="19" fillId="3" borderId="59" xfId="3" applyNumberFormat="1" applyFont="1" applyFill="1" applyBorder="1" applyAlignment="1">
      <alignment horizontal="center" vertical="center" wrapText="1"/>
    </xf>
    <xf numFmtId="4" fontId="19" fillId="0" borderId="0" xfId="3" applyNumberFormat="1" applyFont="1" applyBorder="1" applyAlignment="1">
      <alignment horizontal="left" vertical="center" wrapText="1"/>
    </xf>
    <xf numFmtId="4" fontId="19" fillId="0" borderId="35" xfId="3" applyNumberFormat="1" applyFont="1" applyBorder="1" applyAlignment="1">
      <alignment horizontal="left" vertical="center" wrapText="1"/>
    </xf>
    <xf numFmtId="4" fontId="19" fillId="0" borderId="27" xfId="3" applyNumberFormat="1" applyFont="1" applyBorder="1" applyAlignment="1">
      <alignment horizontal="left" vertical="center" wrapText="1"/>
    </xf>
    <xf numFmtId="4" fontId="19" fillId="0" borderId="26" xfId="3" applyNumberFormat="1" applyFont="1" applyBorder="1" applyAlignment="1">
      <alignment horizontal="left" vertical="center" wrapText="1"/>
    </xf>
    <xf numFmtId="0" fontId="19" fillId="0" borderId="0" xfId="2" applyFont="1" applyBorder="1" applyAlignment="1" applyProtection="1">
      <alignment horizontal="left" vertical="center" wrapText="1"/>
    </xf>
    <xf numFmtId="0" fontId="19" fillId="0" borderId="35" xfId="2" applyFont="1" applyBorder="1" applyAlignment="1" applyProtection="1">
      <alignment horizontal="left" vertical="center" wrapText="1"/>
    </xf>
    <xf numFmtId="0" fontId="19" fillId="0" borderId="12" xfId="3" applyFont="1" applyBorder="1" applyAlignment="1">
      <alignment horizontal="left" vertical="center" wrapText="1"/>
    </xf>
    <xf numFmtId="0" fontId="19" fillId="0" borderId="19" xfId="3" applyFont="1" applyBorder="1" applyAlignment="1">
      <alignment horizontal="left" vertical="center" wrapText="1"/>
    </xf>
    <xf numFmtId="0" fontId="19" fillId="0" borderId="0" xfId="3" applyFont="1" applyFill="1" applyBorder="1" applyAlignment="1">
      <alignment horizontal="justify" vertical="center" wrapText="1"/>
    </xf>
    <xf numFmtId="0" fontId="19" fillId="0" borderId="35" xfId="3" applyFont="1" applyFill="1" applyBorder="1" applyAlignment="1">
      <alignment horizontal="justify" vertical="center" wrapText="1"/>
    </xf>
    <xf numFmtId="0" fontId="19" fillId="0" borderId="0" xfId="3" applyFont="1" applyFill="1" applyBorder="1" applyAlignment="1">
      <alignment horizontal="left" vertical="center" wrapText="1"/>
    </xf>
    <xf numFmtId="0" fontId="19" fillId="0" borderId="35" xfId="3" applyFont="1" applyFill="1" applyBorder="1" applyAlignment="1">
      <alignment horizontal="left" vertical="center" wrapText="1"/>
    </xf>
    <xf numFmtId="4" fontId="19" fillId="0" borderId="12" xfId="3" applyNumberFormat="1" applyFont="1" applyFill="1" applyBorder="1" applyAlignment="1">
      <alignment horizontal="left" vertical="center" wrapText="1"/>
    </xf>
    <xf numFmtId="4" fontId="19" fillId="0" borderId="27" xfId="1" applyNumberFormat="1" applyFont="1" applyFill="1" applyBorder="1" applyAlignment="1" applyProtection="1">
      <alignment horizontal="left" vertical="center" wrapText="1"/>
    </xf>
    <xf numFmtId="4" fontId="19" fillId="0" borderId="26" xfId="1" applyNumberFormat="1" applyFont="1" applyFill="1" applyBorder="1" applyAlignment="1" applyProtection="1">
      <alignment horizontal="left" vertical="center" wrapText="1"/>
    </xf>
    <xf numFmtId="0" fontId="19" fillId="0" borderId="12" xfId="2" applyFont="1" applyBorder="1" applyAlignment="1" applyProtection="1">
      <alignment horizontal="left" vertical="center" wrapText="1"/>
    </xf>
    <xf numFmtId="0" fontId="19" fillId="0" borderId="19" xfId="2" applyFont="1" applyBorder="1" applyAlignment="1" applyProtection="1">
      <alignment horizontal="left" vertical="center" wrapText="1"/>
    </xf>
    <xf numFmtId="0" fontId="19" fillId="0" borderId="0" xfId="52" applyFont="1" applyFill="1" applyBorder="1" applyAlignment="1">
      <alignment horizontal="left" vertical="center" wrapText="1"/>
    </xf>
    <xf numFmtId="0" fontId="19" fillId="0" borderId="35" xfId="52" applyFont="1" applyFill="1" applyBorder="1" applyAlignment="1">
      <alignment horizontal="left" vertical="center" wrapText="1"/>
    </xf>
    <xf numFmtId="0" fontId="19" fillId="0" borderId="0" xfId="6" applyFont="1" applyFill="1" applyBorder="1" applyAlignment="1">
      <alignment horizontal="left" vertical="center" wrapText="1"/>
    </xf>
    <xf numFmtId="0" fontId="19" fillId="0" borderId="35" xfId="6" applyFont="1" applyFill="1" applyBorder="1" applyAlignment="1">
      <alignment horizontal="left" vertical="center" wrapText="1"/>
    </xf>
    <xf numFmtId="0" fontId="15" fillId="0" borderId="27" xfId="2" applyFont="1" applyBorder="1" applyAlignment="1" applyProtection="1">
      <alignment horizontal="left" vertical="center" wrapText="1"/>
    </xf>
    <xf numFmtId="0" fontId="15" fillId="0" borderId="26" xfId="2" applyFont="1" applyBorder="1" applyAlignment="1" applyProtection="1">
      <alignment horizontal="left" vertical="center" wrapText="1"/>
    </xf>
    <xf numFmtId="0" fontId="19" fillId="0" borderId="0" xfId="3" applyFont="1" applyBorder="1" applyAlignment="1">
      <alignment horizontal="left" vertical="center" wrapText="1"/>
    </xf>
    <xf numFmtId="0" fontId="19" fillId="0" borderId="35" xfId="3" applyFont="1" applyBorder="1" applyAlignment="1">
      <alignment horizontal="left" vertical="center" wrapText="1"/>
    </xf>
    <xf numFmtId="0" fontId="19" fillId="0" borderId="27" xfId="3" applyFont="1" applyBorder="1" applyAlignment="1">
      <alignment horizontal="left" vertical="center" wrapText="1"/>
    </xf>
    <xf numFmtId="0" fontId="19" fillId="0" borderId="26" xfId="3" applyFont="1" applyBorder="1" applyAlignment="1">
      <alignment horizontal="left" vertical="center" wrapText="1"/>
    </xf>
    <xf numFmtId="0" fontId="19" fillId="0" borderId="0" xfId="3" applyFont="1" applyBorder="1" applyAlignment="1">
      <alignment horizontal="justify" vertical="center" wrapText="1"/>
    </xf>
    <xf numFmtId="0" fontId="19" fillId="0" borderId="35" xfId="3" applyFont="1" applyBorder="1" applyAlignment="1">
      <alignment horizontal="justify" vertical="center" wrapText="1"/>
    </xf>
    <xf numFmtId="0" fontId="19" fillId="0" borderId="12" xfId="3" applyFont="1" applyBorder="1" applyAlignment="1">
      <alignment horizontal="justify" vertical="center" wrapText="1"/>
    </xf>
    <xf numFmtId="0" fontId="19" fillId="0" borderId="19" xfId="3" applyFont="1" applyBorder="1" applyAlignment="1">
      <alignment horizontal="justify" vertical="center" wrapText="1"/>
    </xf>
    <xf numFmtId="0" fontId="19" fillId="0" borderId="12" xfId="2" quotePrefix="1" applyFont="1" applyBorder="1" applyAlignment="1" applyProtection="1">
      <alignment horizontal="left" vertical="center" wrapText="1"/>
    </xf>
    <xf numFmtId="0" fontId="19" fillId="0" borderId="19" xfId="2" quotePrefix="1" applyFont="1" applyBorder="1" applyAlignment="1" applyProtection="1">
      <alignment horizontal="left" vertical="center" wrapText="1"/>
    </xf>
    <xf numFmtId="0" fontId="4" fillId="0" borderId="13" xfId="2" applyFont="1" applyBorder="1" applyAlignment="1" applyProtection="1">
      <alignment horizontal="center" vertical="center"/>
    </xf>
    <xf numFmtId="4" fontId="19" fillId="0" borderId="12" xfId="3" applyNumberFormat="1" applyFont="1" applyBorder="1" applyAlignment="1">
      <alignment horizontal="left" vertical="center" wrapText="1"/>
    </xf>
    <xf numFmtId="4" fontId="19" fillId="0" borderId="19" xfId="3" applyNumberFormat="1" applyFont="1" applyBorder="1" applyAlignment="1">
      <alignment horizontal="left" vertical="center" wrapText="1"/>
    </xf>
    <xf numFmtId="4" fontId="19" fillId="0" borderId="12" xfId="3" applyNumberFormat="1" applyFont="1" applyBorder="1" applyAlignment="1">
      <alignment horizontal="justify" vertical="center" wrapText="1"/>
    </xf>
    <xf numFmtId="4" fontId="19" fillId="0" borderId="19" xfId="3" applyNumberFormat="1" applyFont="1" applyBorder="1" applyAlignment="1">
      <alignment horizontal="justify" vertical="center" wrapText="1"/>
    </xf>
    <xf numFmtId="4" fontId="15" fillId="0" borderId="9" xfId="2" applyNumberFormat="1" applyFont="1" applyBorder="1" applyAlignment="1" applyProtection="1">
      <alignment horizontal="center" vertical="center" wrapText="1"/>
    </xf>
    <xf numFmtId="4" fontId="15" fillId="0" borderId="7" xfId="2" applyNumberFormat="1" applyFont="1" applyBorder="1" applyAlignment="1" applyProtection="1">
      <alignment horizontal="center" vertical="center" wrapText="1"/>
    </xf>
    <xf numFmtId="10" fontId="15" fillId="0" borderId="9" xfId="2" applyNumberFormat="1" applyFont="1" applyBorder="1" applyAlignment="1" applyProtection="1">
      <alignment horizontal="center" vertical="center" wrapText="1"/>
    </xf>
    <xf numFmtId="10" fontId="15" fillId="0" borderId="7" xfId="2" applyNumberFormat="1" applyFont="1" applyBorder="1" applyAlignment="1" applyProtection="1">
      <alignment horizontal="center" vertical="center" wrapText="1"/>
    </xf>
    <xf numFmtId="0" fontId="38" fillId="0" borderId="13" xfId="2" applyFont="1" applyBorder="1" applyAlignment="1" applyProtection="1">
      <alignment horizontal="center" vertical="center"/>
    </xf>
    <xf numFmtId="4" fontId="15" fillId="0" borderId="13" xfId="2" applyNumberFormat="1" applyFont="1" applyBorder="1" applyAlignment="1" applyProtection="1">
      <alignment horizontal="center" vertical="center" wrapText="1"/>
    </xf>
    <xf numFmtId="43" fontId="26" fillId="0" borderId="12" xfId="49" quotePrefix="1" applyFont="1" applyBorder="1" applyAlignment="1">
      <alignment horizontal="left" vertical="center"/>
    </xf>
    <xf numFmtId="43" fontId="26" fillId="0" borderId="19" xfId="49" quotePrefix="1" applyFont="1" applyBorder="1" applyAlignment="1">
      <alignment horizontal="left" vertical="center"/>
    </xf>
    <xf numFmtId="0" fontId="19" fillId="0" borderId="27" xfId="2" applyFont="1" applyBorder="1" applyAlignment="1" applyProtection="1">
      <alignment horizontal="left" vertical="center" wrapText="1"/>
    </xf>
    <xf numFmtId="0" fontId="19" fillId="0" borderId="26" xfId="2" applyFont="1" applyBorder="1" applyAlignment="1" applyProtection="1">
      <alignment horizontal="left" vertical="center" wrapText="1"/>
    </xf>
    <xf numFmtId="0" fontId="19" fillId="0" borderId="27" xfId="2" applyFont="1" applyBorder="1" applyAlignment="1" applyProtection="1">
      <alignment horizontal="justify" vertical="center" wrapText="1"/>
    </xf>
    <xf numFmtId="0" fontId="19" fillId="0" borderId="26" xfId="2" applyFont="1" applyBorder="1" applyAlignment="1" applyProtection="1">
      <alignment horizontal="justify" vertical="center" wrapText="1"/>
    </xf>
    <xf numFmtId="0" fontId="19" fillId="0" borderId="0" xfId="2" applyFont="1" applyBorder="1" applyAlignment="1" applyProtection="1">
      <alignment horizontal="justify" vertical="center" wrapText="1"/>
    </xf>
    <xf numFmtId="0" fontId="19" fillId="0" borderId="35" xfId="2" applyFont="1" applyBorder="1" applyAlignment="1" applyProtection="1">
      <alignment horizontal="justify" vertical="center" wrapText="1"/>
    </xf>
    <xf numFmtId="0" fontId="19" fillId="0" borderId="0" xfId="5" applyFont="1" applyBorder="1" applyAlignment="1">
      <alignment horizontal="justify" vertical="center" wrapText="1"/>
    </xf>
    <xf numFmtId="0" fontId="19" fillId="0" borderId="35" xfId="5" applyFont="1" applyBorder="1" applyAlignment="1">
      <alignment horizontal="justify" vertical="center" wrapText="1"/>
    </xf>
    <xf numFmtId="0" fontId="19" fillId="0" borderId="0" xfId="5" quotePrefix="1" applyFont="1" applyBorder="1" applyAlignment="1">
      <alignment horizontal="justify" vertical="center" wrapText="1"/>
    </xf>
    <xf numFmtId="0" fontId="70" fillId="0" borderId="0" xfId="5" applyFont="1" applyFill="1" applyAlignment="1">
      <alignment horizontal="center" vertical="center"/>
    </xf>
    <xf numFmtId="0" fontId="66" fillId="0" borderId="0" xfId="5" applyFont="1" applyFill="1" applyAlignment="1">
      <alignment horizontal="center" vertical="center"/>
    </xf>
    <xf numFmtId="0" fontId="67" fillId="0" borderId="0" xfId="5" applyFont="1" applyFill="1" applyAlignment="1">
      <alignment horizontal="center" vertical="center"/>
    </xf>
    <xf numFmtId="4" fontId="14" fillId="30" borderId="25" xfId="3" applyNumberFormat="1" applyFont="1" applyFill="1" applyBorder="1" applyAlignment="1">
      <alignment horizontal="center" vertical="center" wrapText="1"/>
    </xf>
    <xf numFmtId="4" fontId="19" fillId="0" borderId="68" xfId="2" applyNumberFormat="1" applyFont="1" applyBorder="1" applyAlignment="1" applyProtection="1">
      <alignment horizontal="right" vertical="center" wrapText="1"/>
    </xf>
    <xf numFmtId="4" fontId="14" fillId="30" borderId="59" xfId="6" applyNumberFormat="1" applyFont="1" applyFill="1" applyBorder="1" applyAlignment="1">
      <alignment horizontal="center" vertical="center" wrapText="1"/>
    </xf>
    <xf numFmtId="0" fontId="14" fillId="0" borderId="78" xfId="0" applyFont="1" applyBorder="1" applyAlignment="1" applyProtection="1">
      <alignment horizontal="center" vertical="center"/>
    </xf>
    <xf numFmtId="1" fontId="14" fillId="0" borderId="75" xfId="0" applyNumberFormat="1" applyFont="1" applyBorder="1" applyAlignment="1" applyProtection="1">
      <alignment horizontal="center" vertical="center" wrapText="1"/>
    </xf>
    <xf numFmtId="4" fontId="14" fillId="0" borderId="78" xfId="3" applyNumberFormat="1" applyFont="1" applyBorder="1" applyAlignment="1">
      <alignment horizontal="right" vertical="center"/>
    </xf>
    <xf numFmtId="4" fontId="14" fillId="0" borderId="78" xfId="3" applyNumberFormat="1" applyFont="1" applyBorder="1" applyAlignment="1">
      <alignment horizontal="right" vertical="center" wrapText="1"/>
    </xf>
    <xf numFmtId="1" fontId="5" fillId="0" borderId="0" xfId="0" applyNumberFormat="1" applyFont="1" applyFill="1" applyBorder="1" applyAlignment="1" applyProtection="1">
      <alignment horizontal="center" vertical="center"/>
    </xf>
    <xf numFmtId="0" fontId="19" fillId="0" borderId="0" xfId="0" applyNumberFormat="1" applyFont="1" applyFill="1" applyBorder="1" applyAlignment="1" applyProtection="1">
      <alignment horizontal="left" vertical="center" wrapText="1"/>
    </xf>
    <xf numFmtId="4" fontId="23" fillId="0" borderId="37" xfId="3" applyNumberFormat="1" applyFont="1" applyBorder="1" applyAlignment="1">
      <alignment horizontal="left" vertical="center" wrapText="1"/>
    </xf>
    <xf numFmtId="4" fontId="14" fillId="0" borderId="75" xfId="2" applyNumberFormat="1" applyFont="1" applyBorder="1" applyAlignment="1" applyProtection="1">
      <alignment horizontal="right" vertical="center" wrapText="1"/>
    </xf>
    <xf numFmtId="4" fontId="14" fillId="0" borderId="29" xfId="2" applyNumberFormat="1" applyFont="1" applyBorder="1" applyAlignment="1" applyProtection="1">
      <alignment horizontal="right" vertical="center" wrapText="1"/>
    </xf>
    <xf numFmtId="4" fontId="14" fillId="0" borderId="28" xfId="2" applyNumberFormat="1" applyFont="1" applyBorder="1" applyAlignment="1" applyProtection="1">
      <alignment horizontal="right" vertical="center" wrapText="1"/>
    </xf>
    <xf numFmtId="4" fontId="14" fillId="0" borderId="28" xfId="2" applyNumberFormat="1" applyFont="1" applyBorder="1" applyAlignment="1" applyProtection="1">
      <alignment horizontal="right" vertical="center"/>
    </xf>
    <xf numFmtId="10" fontId="14" fillId="0" borderId="28" xfId="2" applyNumberFormat="1" applyFont="1" applyBorder="1" applyAlignment="1" applyProtection="1">
      <alignment horizontal="right" vertical="center"/>
    </xf>
    <xf numFmtId="1" fontId="5" fillId="30" borderId="58" xfId="2" applyNumberFormat="1" applyFont="1" applyFill="1" applyBorder="1" applyAlignment="1" applyProtection="1">
      <alignment horizontal="center" vertical="center"/>
    </xf>
    <xf numFmtId="0" fontId="14" fillId="30" borderId="59" xfId="2" applyFont="1" applyFill="1" applyBorder="1" applyAlignment="1" applyProtection="1">
      <alignment horizontal="center" vertical="center"/>
    </xf>
    <xf numFmtId="1" fontId="5" fillId="0" borderId="29" xfId="2" applyNumberFormat="1" applyFont="1" applyFill="1" applyBorder="1" applyAlignment="1" applyProtection="1">
      <alignment horizontal="center" vertical="center"/>
    </xf>
    <xf numFmtId="0" fontId="14" fillId="0" borderId="27" xfId="2" applyFont="1" applyFill="1" applyBorder="1" applyAlignment="1" applyProtection="1">
      <alignment horizontal="center" vertical="center"/>
    </xf>
    <xf numFmtId="1" fontId="5" fillId="0" borderId="78" xfId="2" applyNumberFormat="1" applyFont="1" applyFill="1" applyBorder="1" applyAlignment="1" applyProtection="1">
      <alignment horizontal="center" vertical="center"/>
    </xf>
    <xf numFmtId="0" fontId="26" fillId="0" borderId="35" xfId="0" applyNumberFormat="1" applyFont="1" applyFill="1" applyBorder="1" applyAlignment="1">
      <alignment horizontal="left" vertical="center" wrapText="1"/>
    </xf>
    <xf numFmtId="0" fontId="63" fillId="30" borderId="59" xfId="2" applyFont="1" applyFill="1" applyBorder="1" applyAlignment="1" applyProtection="1">
      <alignment horizontal="center" vertical="center"/>
    </xf>
    <xf numFmtId="0" fontId="14" fillId="3" borderId="59" xfId="3" quotePrefix="1" applyFont="1" applyFill="1" applyBorder="1" applyAlignment="1">
      <alignment horizontal="center" vertical="center" wrapText="1"/>
    </xf>
    <xf numFmtId="0" fontId="19" fillId="0" borderId="59" xfId="3" quotePrefix="1" applyFont="1" applyBorder="1" applyAlignment="1">
      <alignment horizontal="center" vertical="center" wrapText="1"/>
    </xf>
    <xf numFmtId="4" fontId="19" fillId="0" borderId="58" xfId="3" applyNumberFormat="1" applyFont="1" applyBorder="1" applyAlignment="1">
      <alignment horizontal="right" vertical="center" wrapText="1"/>
    </xf>
    <xf numFmtId="4" fontId="19" fillId="0" borderId="60" xfId="3" applyNumberFormat="1" applyFont="1" applyBorder="1" applyAlignment="1">
      <alignment horizontal="right" vertical="center" wrapText="1"/>
    </xf>
    <xf numFmtId="4" fontId="19" fillId="0" borderId="78" xfId="3" applyNumberFormat="1" applyFont="1" applyBorder="1" applyAlignment="1">
      <alignment horizontal="right" vertical="center" wrapText="1"/>
    </xf>
    <xf numFmtId="0" fontId="19" fillId="0" borderId="27" xfId="6" applyFont="1" applyFill="1" applyBorder="1" applyAlignment="1">
      <alignment horizontal="left" vertical="center" wrapText="1"/>
    </xf>
    <xf numFmtId="0" fontId="19" fillId="0" borderId="26" xfId="6" applyFont="1" applyFill="1" applyBorder="1" applyAlignment="1">
      <alignment horizontal="left" vertical="center" wrapText="1"/>
    </xf>
    <xf numFmtId="0" fontId="19" fillId="0" borderId="27" xfId="3" applyFont="1" applyBorder="1" applyAlignment="1">
      <alignment vertical="center" wrapText="1"/>
    </xf>
    <xf numFmtId="4" fontId="19" fillId="0" borderId="29" xfId="3" applyNumberFormat="1" applyFont="1" applyBorder="1" applyAlignment="1">
      <alignment horizontal="right" vertical="center" wrapText="1"/>
    </xf>
    <xf numFmtId="0" fontId="14" fillId="29" borderId="59" xfId="3" applyFont="1" applyFill="1" applyBorder="1" applyAlignment="1">
      <alignment horizontal="center" vertical="center" wrapText="1"/>
    </xf>
    <xf numFmtId="1" fontId="5" fillId="29" borderId="78" xfId="2" applyNumberFormat="1" applyFont="1" applyFill="1" applyBorder="1" applyAlignment="1" applyProtection="1">
      <alignment horizontal="center" vertical="center"/>
    </xf>
    <xf numFmtId="0" fontId="14" fillId="29" borderId="0" xfId="3" applyFont="1" applyFill="1" applyBorder="1" applyAlignment="1">
      <alignment horizontal="center" vertical="center" wrapText="1"/>
    </xf>
    <xf numFmtId="4" fontId="23" fillId="0" borderId="35" xfId="3" applyNumberFormat="1" applyFont="1" applyBorder="1" applyAlignment="1">
      <alignment horizontal="left" vertical="center" wrapText="1"/>
    </xf>
    <xf numFmtId="0" fontId="19" fillId="0" borderId="0" xfId="0" applyFont="1" applyFill="1" applyBorder="1" applyAlignment="1">
      <alignment horizontal="left" vertical="center" wrapText="1"/>
    </xf>
    <xf numFmtId="0" fontId="19" fillId="0" borderId="35" xfId="0" applyFont="1" applyFill="1" applyBorder="1" applyAlignment="1">
      <alignment horizontal="left" vertical="center" wrapText="1"/>
    </xf>
    <xf numFmtId="0" fontId="19" fillId="0" borderId="27" xfId="3" applyFont="1" applyFill="1" applyBorder="1" applyAlignment="1">
      <alignment horizontal="left" vertical="center" wrapText="1"/>
    </xf>
    <xf numFmtId="0" fontId="19" fillId="0" borderId="26" xfId="3" applyFont="1" applyFill="1" applyBorder="1" applyAlignment="1">
      <alignment horizontal="left" vertical="center" wrapText="1"/>
    </xf>
  </cellXfs>
  <cellStyles count="53">
    <cellStyle name="20% - akcent 1 2" xfId="8" xr:uid="{00000000-0005-0000-0000-000000000000}"/>
    <cellStyle name="20% - akcent 2 2" xfId="9" xr:uid="{00000000-0005-0000-0000-000001000000}"/>
    <cellStyle name="20% - akcent 3 2" xfId="10" xr:uid="{00000000-0005-0000-0000-000002000000}"/>
    <cellStyle name="20% - akcent 4 2" xfId="11" xr:uid="{00000000-0005-0000-0000-000003000000}"/>
    <cellStyle name="20% - akcent 5 2" xfId="12" xr:uid="{00000000-0005-0000-0000-000004000000}"/>
    <cellStyle name="20% - akcent 6 2" xfId="13" xr:uid="{00000000-0005-0000-0000-000005000000}"/>
    <cellStyle name="40% - akcent 1 2" xfId="14" xr:uid="{00000000-0005-0000-0000-000006000000}"/>
    <cellStyle name="40% - akcent 2 2" xfId="15" xr:uid="{00000000-0005-0000-0000-000007000000}"/>
    <cellStyle name="40% - akcent 3 2" xfId="16" xr:uid="{00000000-0005-0000-0000-000008000000}"/>
    <cellStyle name="40% - akcent 4 2" xfId="17" xr:uid="{00000000-0005-0000-0000-000009000000}"/>
    <cellStyle name="40% - akcent 5 2" xfId="18" xr:uid="{00000000-0005-0000-0000-00000A000000}"/>
    <cellStyle name="40% - akcent 6 2" xfId="19" xr:uid="{00000000-0005-0000-0000-00000B000000}"/>
    <cellStyle name="60% - akcent 1 2" xfId="20" xr:uid="{00000000-0005-0000-0000-00000C000000}"/>
    <cellStyle name="60% - akcent 2 2" xfId="21" xr:uid="{00000000-0005-0000-0000-00000D000000}"/>
    <cellStyle name="60% - akcent 3 2" xfId="22" xr:uid="{00000000-0005-0000-0000-00000E000000}"/>
    <cellStyle name="60% - akcent 4 2" xfId="23" xr:uid="{00000000-0005-0000-0000-00000F000000}"/>
    <cellStyle name="60% - akcent 5 2" xfId="24" xr:uid="{00000000-0005-0000-0000-000010000000}"/>
    <cellStyle name="60% - akcent 6 2" xfId="25" xr:uid="{00000000-0005-0000-0000-000011000000}"/>
    <cellStyle name="Akcent 1 2" xfId="26" xr:uid="{00000000-0005-0000-0000-000012000000}"/>
    <cellStyle name="Akcent 2 2" xfId="27" xr:uid="{00000000-0005-0000-0000-000013000000}"/>
    <cellStyle name="Akcent 3 2" xfId="28" xr:uid="{00000000-0005-0000-0000-000014000000}"/>
    <cellStyle name="Akcent 4 2" xfId="29" xr:uid="{00000000-0005-0000-0000-000015000000}"/>
    <cellStyle name="Akcent 5 2" xfId="30" xr:uid="{00000000-0005-0000-0000-000016000000}"/>
    <cellStyle name="Akcent 6 2" xfId="31" xr:uid="{00000000-0005-0000-0000-000017000000}"/>
    <cellStyle name="Dane wejściowe 2" xfId="32" xr:uid="{00000000-0005-0000-0000-000018000000}"/>
    <cellStyle name="Dane wyjściowe 2" xfId="33" xr:uid="{00000000-0005-0000-0000-000019000000}"/>
    <cellStyle name="Dobre 2" xfId="34" xr:uid="{00000000-0005-0000-0000-00001A000000}"/>
    <cellStyle name="Dział" xfId="4" xr:uid="{00000000-0005-0000-0000-00001B000000}"/>
    <cellStyle name="Dziesiętny" xfId="49" builtinId="3"/>
    <cellStyle name="Dziesiętny 2" xfId="50" xr:uid="{00000000-0005-0000-0000-00001D000000}"/>
    <cellStyle name="Komórka połączona 2" xfId="35" xr:uid="{00000000-0005-0000-0000-00001E000000}"/>
    <cellStyle name="Komórka zaznaczona 2" xfId="36" xr:uid="{00000000-0005-0000-0000-00001F000000}"/>
    <cellStyle name="Nagłówek 1 2" xfId="37" xr:uid="{00000000-0005-0000-0000-000020000000}"/>
    <cellStyle name="Nagłówek 2 2" xfId="38" xr:uid="{00000000-0005-0000-0000-000021000000}"/>
    <cellStyle name="Nagłówek 3 2" xfId="39" xr:uid="{00000000-0005-0000-0000-000022000000}"/>
    <cellStyle name="Nagłówek 4 2" xfId="40" xr:uid="{00000000-0005-0000-0000-000023000000}"/>
    <cellStyle name="Neutralne 2" xfId="41" xr:uid="{00000000-0005-0000-0000-000024000000}"/>
    <cellStyle name="Normalny" xfId="0" builtinId="0"/>
    <cellStyle name="Normalny_B-2001" xfId="7" xr:uid="{00000000-0005-0000-0000-000026000000}"/>
    <cellStyle name="Normalny_B-2001(29.01.2001)" xfId="2" xr:uid="{00000000-0005-0000-0000-000027000000}"/>
    <cellStyle name="Normalny_Zeszyt1" xfId="5" xr:uid="{00000000-0005-0000-0000-000028000000}"/>
    <cellStyle name="Obliczenia 2" xfId="42" xr:uid="{00000000-0005-0000-0000-000029000000}"/>
    <cellStyle name="Rozdział" xfId="6" xr:uid="{00000000-0005-0000-0000-00002A000000}"/>
    <cellStyle name="Rozdział 2" xfId="52" xr:uid="{00000000-0005-0000-0000-00002B000000}"/>
    <cellStyle name="Suma 2" xfId="43" xr:uid="{00000000-0005-0000-0000-00002C000000}"/>
    <cellStyle name="Tekst objaśnienia 2" xfId="44" xr:uid="{00000000-0005-0000-0000-00002D000000}"/>
    <cellStyle name="Tekst ostrzeżenia 2" xfId="45" xr:uid="{00000000-0005-0000-0000-00002E000000}"/>
    <cellStyle name="Tytuł 2" xfId="46" xr:uid="{00000000-0005-0000-0000-00002F000000}"/>
    <cellStyle name="Uwaga 2" xfId="47" xr:uid="{00000000-0005-0000-0000-000030000000}"/>
    <cellStyle name="Walutowy" xfId="1" builtinId="4"/>
    <cellStyle name="Zadanie" xfId="3" xr:uid="{00000000-0005-0000-0000-000032000000}"/>
    <cellStyle name="Zadanie 2" xfId="51" xr:uid="{00000000-0005-0000-0000-000033000000}"/>
    <cellStyle name="Złe 2" xfId="48" xr:uid="{00000000-0005-0000-0000-00003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md\Moje%20dokumenty\BUD&#379;ET%202009\Moje%20dokumenty\BUD&#379;ET\UM-20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UM_LECZNA\SYS\Moje%20dokumenty\BUD&#379;ET\UM-20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Moje%20dokumenty\BUD&#379;ET\UM-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hody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hody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hody po KF"/>
      <sheetName val="Wydatki - po KF"/>
      <sheetName val="PLAN FIN.UM-2001 "/>
      <sheetName val="ZADANIA-2001"/>
      <sheetName val="Wydatki"/>
      <sheetName val="Dochody"/>
    </sheetNames>
    <sheetDataSet>
      <sheetData sheetId="0"/>
      <sheetData sheetId="1"/>
      <sheetData sheetId="2"/>
      <sheetData sheetId="3"/>
      <sheetData sheetId="4"/>
      <sheetData sheetId="5">
        <row r="1">
          <cell r="A1" t="str">
            <v>Lp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J1966"/>
  <sheetViews>
    <sheetView tabSelected="1" zoomScale="80" zoomScaleNormal="80" workbookViewId="0">
      <pane ySplit="2" topLeftCell="A3" activePane="bottomLeft" state="frozen"/>
      <selection pane="bottomLeft" activeCell="E6" sqref="E6:O6"/>
    </sheetView>
  </sheetViews>
  <sheetFormatPr defaultColWidth="11.44140625" defaultRowHeight="37.200000000000003"/>
  <cols>
    <col min="1" max="1" width="5" style="647" customWidth="1"/>
    <col min="2" max="2" width="13.88671875" style="8" customWidth="1"/>
    <col min="3" max="3" width="5.6640625" style="7" customWidth="1"/>
    <col min="4" max="4" width="6" style="6" customWidth="1"/>
    <col min="5" max="5" width="94" style="5" customWidth="1"/>
    <col min="6" max="6" width="8.33203125" style="4" hidden="1" customWidth="1"/>
    <col min="7" max="11" width="24" style="3" hidden="1" customWidth="1"/>
    <col min="12" max="14" width="25.5546875" style="2" customWidth="1"/>
    <col min="15" max="15" width="20.5546875" style="902" customWidth="1"/>
    <col min="16" max="16" width="17.88671875" style="764" customWidth="1"/>
    <col min="17" max="17" width="13.33203125" style="666" customWidth="1"/>
    <col min="18" max="16384" width="11.44140625" style="1"/>
  </cols>
  <sheetData>
    <row r="1" spans="1:19" s="10" customFormat="1" ht="40.5" customHeight="1">
      <c r="A1" s="1281" t="s">
        <v>141</v>
      </c>
      <c r="B1" s="750" t="s">
        <v>140</v>
      </c>
      <c r="C1" s="1290" t="s">
        <v>139</v>
      </c>
      <c r="D1" s="1290"/>
      <c r="E1" s="1290"/>
      <c r="F1" s="1291" t="s">
        <v>367</v>
      </c>
      <c r="G1" s="1291"/>
      <c r="H1" s="1291"/>
      <c r="I1" s="1291"/>
      <c r="J1" s="1291"/>
      <c r="K1" s="1291"/>
      <c r="L1" s="1291"/>
      <c r="M1" s="1291" t="s">
        <v>723</v>
      </c>
      <c r="N1" s="1286" t="s">
        <v>722</v>
      </c>
      <c r="O1" s="1288" t="s">
        <v>368</v>
      </c>
      <c r="P1" s="764"/>
      <c r="Q1" s="650"/>
    </row>
    <row r="2" spans="1:19" s="10" customFormat="1" ht="46.2" customHeight="1">
      <c r="A2" s="1281"/>
      <c r="B2" s="751" t="s">
        <v>138</v>
      </c>
      <c r="C2" s="1290"/>
      <c r="D2" s="1290"/>
      <c r="E2" s="1290"/>
      <c r="F2" s="1291"/>
      <c r="G2" s="1291"/>
      <c r="H2" s="1291"/>
      <c r="I2" s="1291"/>
      <c r="J2" s="1291"/>
      <c r="K2" s="1291"/>
      <c r="L2" s="1291"/>
      <c r="M2" s="1291"/>
      <c r="N2" s="1287"/>
      <c r="O2" s="1289"/>
      <c r="P2" s="764"/>
      <c r="Q2" s="650"/>
    </row>
    <row r="3" spans="1:19" s="291" customFormat="1" ht="52.5" customHeight="1">
      <c r="A3" s="83">
        <v>1</v>
      </c>
      <c r="B3" s="82" t="s">
        <v>137</v>
      </c>
      <c r="C3" s="81"/>
      <c r="D3" s="80"/>
      <c r="E3" s="79" t="s">
        <v>136</v>
      </c>
      <c r="F3" s="77">
        <f t="shared" ref="F3:K3" si="0">F4</f>
        <v>0</v>
      </c>
      <c r="G3" s="77">
        <f t="shared" si="0"/>
        <v>0</v>
      </c>
      <c r="H3" s="77">
        <f t="shared" si="0"/>
        <v>0</v>
      </c>
      <c r="I3" s="77">
        <f t="shared" si="0"/>
        <v>0</v>
      </c>
      <c r="J3" s="77">
        <f t="shared" si="0"/>
        <v>0</v>
      </c>
      <c r="K3" s="77">
        <f t="shared" si="0"/>
        <v>16836.669999999998</v>
      </c>
      <c r="L3" s="77">
        <f>L4+L7</f>
        <v>16836.669999999998</v>
      </c>
      <c r="M3" s="77">
        <f t="shared" ref="M3" si="1">M4+M7</f>
        <v>164067.08000000002</v>
      </c>
      <c r="N3" s="77">
        <f>N4+N7</f>
        <v>155725.79999999999</v>
      </c>
      <c r="O3" s="834">
        <f>N3/M3</f>
        <v>0.94915933165873356</v>
      </c>
      <c r="P3" s="765" t="s">
        <v>395</v>
      </c>
      <c r="Q3" s="651"/>
    </row>
    <row r="4" spans="1:19" s="94" customFormat="1" ht="52.5" customHeight="1">
      <c r="A4" s="559"/>
      <c r="B4" s="75" t="s">
        <v>135</v>
      </c>
      <c r="C4" s="74"/>
      <c r="D4" s="73"/>
      <c r="E4" s="72" t="s">
        <v>134</v>
      </c>
      <c r="F4" s="409">
        <f t="shared" ref="F4:K4" si="2">F5</f>
        <v>0</v>
      </c>
      <c r="G4" s="409">
        <f t="shared" si="2"/>
        <v>0</v>
      </c>
      <c r="H4" s="409">
        <f t="shared" si="2"/>
        <v>0</v>
      </c>
      <c r="I4" s="409">
        <f t="shared" si="2"/>
        <v>0</v>
      </c>
      <c r="J4" s="409">
        <f t="shared" si="2"/>
        <v>0</v>
      </c>
      <c r="K4" s="409">
        <f t="shared" si="2"/>
        <v>16836.669999999998</v>
      </c>
      <c r="L4" s="92">
        <f t="shared" ref="L4:L56" si="3">SUM(F4:K4)</f>
        <v>16836.669999999998</v>
      </c>
      <c r="M4" s="92">
        <f>M5</f>
        <v>16836.669999999998</v>
      </c>
      <c r="N4" s="92">
        <f>N5</f>
        <v>8502.89</v>
      </c>
      <c r="O4" s="755">
        <f>N4/M4</f>
        <v>0.50502207384239284</v>
      </c>
      <c r="P4" s="766" t="s">
        <v>395</v>
      </c>
      <c r="Q4" s="649"/>
    </row>
    <row r="5" spans="1:19" s="322" customFormat="1" ht="52.5" customHeight="1">
      <c r="A5" s="634"/>
      <c r="B5" s="216"/>
      <c r="C5" s="28">
        <v>1</v>
      </c>
      <c r="D5" s="91"/>
      <c r="E5" s="90" t="s">
        <v>209</v>
      </c>
      <c r="F5" s="217"/>
      <c r="G5" s="89"/>
      <c r="H5" s="89"/>
      <c r="I5" s="89"/>
      <c r="J5" s="89"/>
      <c r="K5" s="89">
        <f>25000-5000+836.67-4000</f>
        <v>16836.669999999998</v>
      </c>
      <c r="L5" s="89">
        <f t="shared" si="3"/>
        <v>16836.669999999998</v>
      </c>
      <c r="M5" s="89">
        <v>16836.669999999998</v>
      </c>
      <c r="N5" s="89">
        <v>8502.89</v>
      </c>
      <c r="O5" s="835">
        <f>N5/M5</f>
        <v>0.50502207384239284</v>
      </c>
      <c r="P5" s="767" t="s">
        <v>395</v>
      </c>
      <c r="Q5" s="652"/>
    </row>
    <row r="6" spans="1:19" s="762" customFormat="1" ht="51.75" customHeight="1">
      <c r="A6" s="752"/>
      <c r="B6" s="739"/>
      <c r="C6" s="760"/>
      <c r="D6" s="411"/>
      <c r="E6" s="1284" t="s">
        <v>398</v>
      </c>
      <c r="F6" s="1284"/>
      <c r="G6" s="1284"/>
      <c r="H6" s="1284"/>
      <c r="I6" s="1284"/>
      <c r="J6" s="1284"/>
      <c r="K6" s="1284"/>
      <c r="L6" s="1284"/>
      <c r="M6" s="1284"/>
      <c r="N6" s="1284"/>
      <c r="O6" s="1285"/>
      <c r="P6" s="652"/>
      <c r="Q6" s="758"/>
      <c r="R6" s="652"/>
    </row>
    <row r="7" spans="1:19" s="410" customFormat="1" ht="52.5" customHeight="1">
      <c r="A7" s="753"/>
      <c r="B7" s="754" t="s">
        <v>369</v>
      </c>
      <c r="C7" s="74"/>
      <c r="D7" s="73"/>
      <c r="E7" s="72" t="s">
        <v>5</v>
      </c>
      <c r="F7" s="409" t="e">
        <f>#REF!</f>
        <v>#REF!</v>
      </c>
      <c r="G7" s="409" t="e">
        <f>#REF!</f>
        <v>#REF!</v>
      </c>
      <c r="H7" s="409" t="e">
        <f>#REF!</f>
        <v>#REF!</v>
      </c>
      <c r="I7" s="409" t="e">
        <f>#REF!</f>
        <v>#REF!</v>
      </c>
      <c r="J7" s="409" t="e">
        <f>#REF!</f>
        <v>#REF!</v>
      </c>
      <c r="K7" s="409" t="e">
        <f>#REF!</f>
        <v>#REF!</v>
      </c>
      <c r="L7" s="92">
        <f>L8</f>
        <v>0</v>
      </c>
      <c r="M7" s="92">
        <f>SUM(M8:M8)</f>
        <v>147230.41</v>
      </c>
      <c r="N7" s="92">
        <f>N8</f>
        <v>147222.91</v>
      </c>
      <c r="O7" s="755">
        <f>N7/M7</f>
        <v>0.99994905943683776</v>
      </c>
      <c r="P7" s="766" t="s">
        <v>395</v>
      </c>
      <c r="Q7" s="756"/>
      <c r="R7" s="757"/>
    </row>
    <row r="8" spans="1:19" s="322" customFormat="1" ht="200.25" customHeight="1">
      <c r="A8" s="752"/>
      <c r="B8" s="739"/>
      <c r="C8" s="571">
        <v>1</v>
      </c>
      <c r="D8" s="697"/>
      <c r="E8" s="698" t="s">
        <v>724</v>
      </c>
      <c r="F8" s="565"/>
      <c r="G8" s="564"/>
      <c r="H8" s="564"/>
      <c r="I8" s="564"/>
      <c r="J8" s="564"/>
      <c r="K8" s="564">
        <f>20000-45.95-551</f>
        <v>19403.05</v>
      </c>
      <c r="L8" s="564">
        <v>0</v>
      </c>
      <c r="M8" s="564">
        <v>147230.41</v>
      </c>
      <c r="N8" s="564">
        <v>147222.91</v>
      </c>
      <c r="O8" s="763">
        <f>N8/M8</f>
        <v>0.99994905943683776</v>
      </c>
      <c r="P8" s="767" t="s">
        <v>395</v>
      </c>
      <c r="Q8" s="758"/>
      <c r="R8" s="759"/>
    </row>
    <row r="9" spans="1:19" s="762" customFormat="1" ht="137.25" customHeight="1">
      <c r="A9" s="752"/>
      <c r="B9" s="739"/>
      <c r="C9" s="760"/>
      <c r="D9" s="411"/>
      <c r="E9" s="1282" t="s">
        <v>725</v>
      </c>
      <c r="F9" s="1282"/>
      <c r="G9" s="1282"/>
      <c r="H9" s="1282"/>
      <c r="I9" s="1282"/>
      <c r="J9" s="1282"/>
      <c r="K9" s="1282"/>
      <c r="L9" s="1282"/>
      <c r="M9" s="1282"/>
      <c r="N9" s="1282"/>
      <c r="O9" s="1283"/>
      <c r="P9" s="767"/>
      <c r="Q9" s="758"/>
      <c r="R9" s="652"/>
      <c r="S9" s="761"/>
    </row>
    <row r="10" spans="1:19" s="76" customFormat="1" ht="52.5" customHeight="1">
      <c r="A10" s="83">
        <v>2</v>
      </c>
      <c r="B10" s="82">
        <v>600</v>
      </c>
      <c r="C10" s="81"/>
      <c r="D10" s="80"/>
      <c r="E10" s="79" t="s">
        <v>133</v>
      </c>
      <c r="F10" s="78">
        <f t="shared" ref="F10:K10" si="4">F11</f>
        <v>0</v>
      </c>
      <c r="G10" s="78">
        <f t="shared" si="4"/>
        <v>0</v>
      </c>
      <c r="H10" s="78">
        <f t="shared" si="4"/>
        <v>0</v>
      </c>
      <c r="I10" s="78">
        <f t="shared" si="4"/>
        <v>0</v>
      </c>
      <c r="J10" s="78">
        <f t="shared" si="4"/>
        <v>0</v>
      </c>
      <c r="K10" s="78">
        <f t="shared" si="4"/>
        <v>7214324.6500000004</v>
      </c>
      <c r="L10" s="77">
        <f t="shared" si="3"/>
        <v>7214324.6500000004</v>
      </c>
      <c r="M10" s="77">
        <f>M11</f>
        <v>5616877</v>
      </c>
      <c r="N10" s="77">
        <f>N11</f>
        <v>952390.17999999993</v>
      </c>
      <c r="O10" s="834">
        <f>N10/M10</f>
        <v>0.1695586675656241</v>
      </c>
      <c r="P10" s="764" t="s">
        <v>395</v>
      </c>
      <c r="Q10" s="650"/>
    </row>
    <row r="11" spans="1:19" s="76" customFormat="1" ht="52.5" customHeight="1">
      <c r="A11" s="573"/>
      <c r="B11" s="172">
        <v>60016</v>
      </c>
      <c r="C11" s="171"/>
      <c r="D11" s="170"/>
      <c r="E11" s="169" t="s">
        <v>132</v>
      </c>
      <c r="F11" s="295">
        <f>SUM(F12:F70)</f>
        <v>0</v>
      </c>
      <c r="G11" s="295">
        <f>SUM(G12:G70)</f>
        <v>0</v>
      </c>
      <c r="H11" s="295">
        <f>SUM(H12:H70)</f>
        <v>0</v>
      </c>
      <c r="I11" s="295">
        <f>SUM(I12:I70)</f>
        <v>0</v>
      </c>
      <c r="J11" s="295">
        <f>SUM(J12:J70)</f>
        <v>0</v>
      </c>
      <c r="K11" s="295">
        <f>SUM(K12:K72)</f>
        <v>7214324.6500000004</v>
      </c>
      <c r="L11" s="295">
        <f t="shared" si="3"/>
        <v>7214324.6500000004</v>
      </c>
      <c r="M11" s="295">
        <f>SUM(M12:M72)</f>
        <v>5616877</v>
      </c>
      <c r="N11" s="295">
        <f>N12+N14+N16+N18+N20+N22+N24+N26+N28+N30+N32+N34+N36+N38+N40+N42+N44+N46+N48+N50+N52+N54+N56+N58+N60+N61+N62+N64+N66+N68+N70+N72</f>
        <v>952390.17999999993</v>
      </c>
      <c r="O11" s="836">
        <f>N11/M11</f>
        <v>0.1695586675656241</v>
      </c>
      <c r="P11" s="764" t="s">
        <v>395</v>
      </c>
      <c r="Q11" s="650"/>
    </row>
    <row r="12" spans="1:19" s="381" customFormat="1" ht="159" customHeight="1">
      <c r="A12" s="396"/>
      <c r="B12" s="397"/>
      <c r="C12" s="384">
        <v>1</v>
      </c>
      <c r="D12" s="398"/>
      <c r="E12" s="482" t="s">
        <v>191</v>
      </c>
      <c r="F12" s="124"/>
      <c r="G12" s="366"/>
      <c r="H12" s="366"/>
      <c r="I12" s="366"/>
      <c r="J12" s="366"/>
      <c r="K12" s="366">
        <v>350000</v>
      </c>
      <c r="L12" s="451">
        <f t="shared" si="3"/>
        <v>350000</v>
      </c>
      <c r="M12" s="451">
        <v>350000</v>
      </c>
      <c r="N12" s="451">
        <v>122493.47</v>
      </c>
      <c r="O12" s="837">
        <f>N12/M12</f>
        <v>0.34998134285714289</v>
      </c>
      <c r="P12" s="764" t="s">
        <v>395</v>
      </c>
      <c r="Q12" s="650"/>
    </row>
    <row r="13" spans="1:19" s="762" customFormat="1" ht="138.75" customHeight="1">
      <c r="A13" s="1144"/>
      <c r="B13" s="1093"/>
      <c r="C13" s="760"/>
      <c r="D13" s="411"/>
      <c r="E13" s="1248" t="s">
        <v>726</v>
      </c>
      <c r="F13" s="1248"/>
      <c r="G13" s="1248"/>
      <c r="H13" s="1248"/>
      <c r="I13" s="1248"/>
      <c r="J13" s="1248"/>
      <c r="K13" s="1248"/>
      <c r="L13" s="1248"/>
      <c r="M13" s="1248"/>
      <c r="N13" s="1248"/>
      <c r="O13" s="1249"/>
      <c r="P13" s="1145"/>
      <c r="Q13" s="758"/>
      <c r="R13" s="759"/>
    </row>
    <row r="14" spans="1:19" s="381" customFormat="1" ht="69.75" customHeight="1">
      <c r="A14" s="396"/>
      <c r="B14" s="88"/>
      <c r="C14" s="384">
        <v>2</v>
      </c>
      <c r="D14" s="398"/>
      <c r="E14" s="482" t="s">
        <v>306</v>
      </c>
      <c r="F14" s="124"/>
      <c r="G14" s="366"/>
      <c r="H14" s="366"/>
      <c r="I14" s="366"/>
      <c r="J14" s="366"/>
      <c r="K14" s="366">
        <v>650000</v>
      </c>
      <c r="L14" s="451">
        <f t="shared" si="3"/>
        <v>650000</v>
      </c>
      <c r="M14" s="451">
        <v>650000</v>
      </c>
      <c r="N14" s="451">
        <v>479643.73</v>
      </c>
      <c r="O14" s="837">
        <f>N14/M14</f>
        <v>0.73791343076923077</v>
      </c>
      <c r="P14" s="764" t="s">
        <v>395</v>
      </c>
      <c r="Q14" s="650"/>
    </row>
    <row r="15" spans="1:19" s="762" customFormat="1" ht="165" customHeight="1">
      <c r="A15" s="1144"/>
      <c r="B15" s="1093"/>
      <c r="C15" s="760"/>
      <c r="D15" s="411"/>
      <c r="E15" s="1248" t="s">
        <v>727</v>
      </c>
      <c r="F15" s="1248"/>
      <c r="G15" s="1248"/>
      <c r="H15" s="1248"/>
      <c r="I15" s="1248"/>
      <c r="J15" s="1248"/>
      <c r="K15" s="1248"/>
      <c r="L15" s="1248"/>
      <c r="M15" s="1248"/>
      <c r="N15" s="1248"/>
      <c r="O15" s="1249"/>
      <c r="P15" s="1145"/>
      <c r="Q15" s="758"/>
      <c r="R15" s="759"/>
    </row>
    <row r="16" spans="1:19" s="381" customFormat="1" ht="69.75" customHeight="1">
      <c r="A16" s="396"/>
      <c r="B16" s="397"/>
      <c r="C16" s="384">
        <v>3</v>
      </c>
      <c r="D16" s="611"/>
      <c r="E16" s="482" t="s">
        <v>307</v>
      </c>
      <c r="F16" s="588"/>
      <c r="G16" s="595"/>
      <c r="H16" s="595"/>
      <c r="I16" s="595"/>
      <c r="J16" s="595"/>
      <c r="K16" s="595">
        <v>3283</v>
      </c>
      <c r="L16" s="564">
        <f t="shared" si="3"/>
        <v>3283</v>
      </c>
      <c r="M16" s="564">
        <v>3283</v>
      </c>
      <c r="N16" s="564">
        <v>3281.73</v>
      </c>
      <c r="O16" s="763">
        <f>N16/M16</f>
        <v>0.9996131586963144</v>
      </c>
      <c r="P16" s="764" t="s">
        <v>395</v>
      </c>
      <c r="Q16" s="650"/>
    </row>
    <row r="17" spans="1:18" s="911" customFormat="1" ht="58.8" customHeight="1">
      <c r="A17" s="1144"/>
      <c r="B17" s="1093"/>
      <c r="C17" s="760"/>
      <c r="D17" s="411"/>
      <c r="E17" s="1248" t="s">
        <v>701</v>
      </c>
      <c r="F17" s="1248"/>
      <c r="G17" s="1248"/>
      <c r="H17" s="1248"/>
      <c r="I17" s="1248"/>
      <c r="J17" s="1248"/>
      <c r="K17" s="1248"/>
      <c r="L17" s="1248"/>
      <c r="M17" s="1248"/>
      <c r="N17" s="1248"/>
      <c r="O17" s="1249"/>
      <c r="P17" s="1145"/>
      <c r="Q17" s="910"/>
      <c r="R17" s="1146"/>
    </row>
    <row r="18" spans="1:18" s="381" customFormat="1" ht="69.75" customHeight="1">
      <c r="A18" s="396"/>
      <c r="B18" s="397"/>
      <c r="C18" s="593">
        <v>4</v>
      </c>
      <c r="D18" s="611"/>
      <c r="E18" s="683" t="s">
        <v>338</v>
      </c>
      <c r="F18" s="588"/>
      <c r="G18" s="595"/>
      <c r="H18" s="595"/>
      <c r="I18" s="595"/>
      <c r="J18" s="595"/>
      <c r="K18" s="595">
        <v>10000</v>
      </c>
      <c r="L18" s="564">
        <f t="shared" si="3"/>
        <v>10000</v>
      </c>
      <c r="M18" s="564">
        <v>10000</v>
      </c>
      <c r="N18" s="564">
        <v>1500</v>
      </c>
      <c r="O18" s="763">
        <f>N18/M18</f>
        <v>0.15</v>
      </c>
      <c r="P18" s="764" t="s">
        <v>395</v>
      </c>
      <c r="Q18" s="650"/>
    </row>
    <row r="19" spans="1:18" s="911" customFormat="1" ht="65.25" customHeight="1">
      <c r="A19" s="1144"/>
      <c r="B19" s="1093"/>
      <c r="C19" s="760"/>
      <c r="D19" s="411"/>
      <c r="E19" s="1248" t="s">
        <v>728</v>
      </c>
      <c r="F19" s="1248"/>
      <c r="G19" s="1248"/>
      <c r="H19" s="1248"/>
      <c r="I19" s="1248"/>
      <c r="J19" s="1248"/>
      <c r="K19" s="1248"/>
      <c r="L19" s="1248"/>
      <c r="M19" s="1248"/>
      <c r="N19" s="1248"/>
      <c r="O19" s="1249"/>
      <c r="P19" s="1145"/>
      <c r="Q19" s="910"/>
      <c r="R19" s="1146"/>
    </row>
    <row r="20" spans="1:18" s="381" customFormat="1" ht="66" customHeight="1">
      <c r="A20" s="396"/>
      <c r="B20" s="397"/>
      <c r="C20" s="630">
        <v>5</v>
      </c>
      <c r="D20" s="726"/>
      <c r="E20" s="683" t="s">
        <v>356</v>
      </c>
      <c r="F20" s="588"/>
      <c r="G20" s="595"/>
      <c r="H20" s="595"/>
      <c r="I20" s="595"/>
      <c r="J20" s="595"/>
      <c r="K20" s="595">
        <v>30000</v>
      </c>
      <c r="L20" s="564">
        <f t="shared" si="3"/>
        <v>30000</v>
      </c>
      <c r="M20" s="564">
        <v>15500</v>
      </c>
      <c r="N20" s="564">
        <v>1500</v>
      </c>
      <c r="O20" s="763">
        <f>N20/M20</f>
        <v>9.6774193548387094E-2</v>
      </c>
      <c r="P20" s="764" t="s">
        <v>395</v>
      </c>
      <c r="Q20" s="650"/>
    </row>
    <row r="21" spans="1:18" s="911" customFormat="1" ht="50.25" customHeight="1">
      <c r="A21" s="1144"/>
      <c r="B21" s="1093"/>
      <c r="C21" s="760"/>
      <c r="D21" s="411"/>
      <c r="E21" s="1248" t="s">
        <v>729</v>
      </c>
      <c r="F21" s="1248"/>
      <c r="G21" s="1248"/>
      <c r="H21" s="1248"/>
      <c r="I21" s="1248"/>
      <c r="J21" s="1248"/>
      <c r="K21" s="1248"/>
      <c r="L21" s="1248"/>
      <c r="M21" s="1248"/>
      <c r="N21" s="1248"/>
      <c r="O21" s="1249"/>
      <c r="P21" s="1145"/>
      <c r="Q21" s="910"/>
      <c r="R21" s="1146"/>
    </row>
    <row r="22" spans="1:18" s="231" customFormat="1" ht="67.5" customHeight="1">
      <c r="A22" s="1142"/>
      <c r="B22" s="1143"/>
      <c r="C22" s="593">
        <v>6</v>
      </c>
      <c r="D22" s="611"/>
      <c r="E22" s="629" t="s">
        <v>319</v>
      </c>
      <c r="F22" s="588"/>
      <c r="G22" s="595"/>
      <c r="H22" s="595"/>
      <c r="I22" s="595"/>
      <c r="J22" s="595"/>
      <c r="K22" s="595">
        <v>15750</v>
      </c>
      <c r="L22" s="564">
        <f t="shared" si="3"/>
        <v>15750</v>
      </c>
      <c r="M22" s="564">
        <v>15750</v>
      </c>
      <c r="N22" s="564">
        <v>0</v>
      </c>
      <c r="O22" s="763">
        <v>0</v>
      </c>
      <c r="P22" s="766" t="s">
        <v>395</v>
      </c>
      <c r="Q22" s="649"/>
    </row>
    <row r="23" spans="1:18" s="911" customFormat="1" ht="50.25" customHeight="1">
      <c r="A23" s="1144"/>
      <c r="B23" s="1093"/>
      <c r="C23" s="760"/>
      <c r="D23" s="411"/>
      <c r="E23" s="1248" t="s">
        <v>743</v>
      </c>
      <c r="F23" s="1248"/>
      <c r="G23" s="1248"/>
      <c r="H23" s="1248"/>
      <c r="I23" s="1248"/>
      <c r="J23" s="1248"/>
      <c r="K23" s="1248"/>
      <c r="L23" s="1248"/>
      <c r="M23" s="1248"/>
      <c r="N23" s="1248"/>
      <c r="O23" s="1249"/>
      <c r="P23" s="1145"/>
      <c r="Q23" s="910"/>
      <c r="R23" s="1146"/>
    </row>
    <row r="24" spans="1:18" s="381" customFormat="1" ht="67.5" customHeight="1">
      <c r="A24" s="396"/>
      <c r="B24" s="397"/>
      <c r="C24" s="593">
        <v>7</v>
      </c>
      <c r="D24" s="611"/>
      <c r="E24" s="629" t="s">
        <v>320</v>
      </c>
      <c r="F24" s="588"/>
      <c r="G24" s="595"/>
      <c r="H24" s="595"/>
      <c r="I24" s="595"/>
      <c r="J24" s="595"/>
      <c r="K24" s="595">
        <v>2474.9699999999998</v>
      </c>
      <c r="L24" s="564">
        <f t="shared" si="3"/>
        <v>2474.9699999999998</v>
      </c>
      <c r="M24" s="564">
        <v>2474.9699999999998</v>
      </c>
      <c r="N24" s="564">
        <v>0</v>
      </c>
      <c r="O24" s="763">
        <v>0</v>
      </c>
      <c r="P24" s="764" t="s">
        <v>395</v>
      </c>
      <c r="Q24" s="650"/>
    </row>
    <row r="25" spans="1:18" s="911" customFormat="1" ht="50.25" customHeight="1">
      <c r="A25" s="1144"/>
      <c r="B25" s="1093"/>
      <c r="C25" s="760"/>
      <c r="D25" s="411"/>
      <c r="E25" s="1248" t="s">
        <v>743</v>
      </c>
      <c r="F25" s="1248"/>
      <c r="G25" s="1248"/>
      <c r="H25" s="1248"/>
      <c r="I25" s="1248"/>
      <c r="J25" s="1248"/>
      <c r="K25" s="1248"/>
      <c r="L25" s="1248"/>
      <c r="M25" s="1248"/>
      <c r="N25" s="1248"/>
      <c r="O25" s="1249"/>
      <c r="P25" s="1145"/>
      <c r="Q25" s="910"/>
      <c r="R25" s="1146"/>
    </row>
    <row r="26" spans="1:18" s="381" customFormat="1" ht="89.25" customHeight="1">
      <c r="A26" s="396"/>
      <c r="B26" s="397"/>
      <c r="C26" s="593">
        <v>8</v>
      </c>
      <c r="D26" s="611"/>
      <c r="E26" s="629" t="s">
        <v>324</v>
      </c>
      <c r="F26" s="588"/>
      <c r="G26" s="595"/>
      <c r="H26" s="595"/>
      <c r="I26" s="595"/>
      <c r="J26" s="595"/>
      <c r="K26" s="595">
        <v>8751.59</v>
      </c>
      <c r="L26" s="564">
        <f t="shared" si="3"/>
        <v>8751.59</v>
      </c>
      <c r="M26" s="564">
        <v>8751.59</v>
      </c>
      <c r="N26" s="564">
        <v>0</v>
      </c>
      <c r="O26" s="763">
        <v>0</v>
      </c>
      <c r="P26" s="764" t="s">
        <v>395</v>
      </c>
      <c r="Q26" s="650"/>
    </row>
    <row r="27" spans="1:18" s="911" customFormat="1" ht="50.25" customHeight="1">
      <c r="A27" s="1144"/>
      <c r="B27" s="1093"/>
      <c r="C27" s="760"/>
      <c r="D27" s="411"/>
      <c r="E27" s="1248" t="s">
        <v>743</v>
      </c>
      <c r="F27" s="1248"/>
      <c r="G27" s="1248"/>
      <c r="H27" s="1248"/>
      <c r="I27" s="1248"/>
      <c r="J27" s="1248"/>
      <c r="K27" s="1248"/>
      <c r="L27" s="1248"/>
      <c r="M27" s="1248"/>
      <c r="N27" s="1248"/>
      <c r="O27" s="1249"/>
      <c r="P27" s="1145"/>
      <c r="Q27" s="910"/>
      <c r="R27" s="1146"/>
    </row>
    <row r="28" spans="1:18" s="381" customFormat="1" ht="89.25" customHeight="1">
      <c r="A28" s="396"/>
      <c r="B28" s="397"/>
      <c r="C28" s="384">
        <v>9</v>
      </c>
      <c r="D28" s="611"/>
      <c r="E28" s="629" t="s">
        <v>322</v>
      </c>
      <c r="F28" s="588"/>
      <c r="G28" s="595"/>
      <c r="H28" s="595"/>
      <c r="I28" s="595"/>
      <c r="J28" s="595"/>
      <c r="K28" s="595">
        <v>9232.7800000000007</v>
      </c>
      <c r="L28" s="564">
        <f t="shared" si="3"/>
        <v>9232.7800000000007</v>
      </c>
      <c r="M28" s="564">
        <v>9232.7800000000007</v>
      </c>
      <c r="N28" s="564">
        <v>0</v>
      </c>
      <c r="O28" s="763">
        <v>0</v>
      </c>
      <c r="P28" s="764" t="s">
        <v>395</v>
      </c>
      <c r="Q28" s="650"/>
    </row>
    <row r="29" spans="1:18" s="911" customFormat="1" ht="50.25" customHeight="1">
      <c r="A29" s="1144"/>
      <c r="B29" s="1093"/>
      <c r="C29" s="760"/>
      <c r="D29" s="411"/>
      <c r="E29" s="1248" t="s">
        <v>743</v>
      </c>
      <c r="F29" s="1248"/>
      <c r="G29" s="1248"/>
      <c r="H29" s="1248"/>
      <c r="I29" s="1248"/>
      <c r="J29" s="1248"/>
      <c r="K29" s="1248"/>
      <c r="L29" s="1248"/>
      <c r="M29" s="1248"/>
      <c r="N29" s="1248"/>
      <c r="O29" s="1249"/>
      <c r="P29" s="1145"/>
      <c r="Q29" s="910"/>
      <c r="R29" s="1146"/>
    </row>
    <row r="30" spans="1:18" s="231" customFormat="1" ht="85.5" customHeight="1">
      <c r="A30" s="1142"/>
      <c r="B30" s="1143"/>
      <c r="C30" s="593">
        <v>10</v>
      </c>
      <c r="D30" s="611"/>
      <c r="E30" s="486" t="s">
        <v>323</v>
      </c>
      <c r="F30" s="588"/>
      <c r="G30" s="595"/>
      <c r="H30" s="595"/>
      <c r="I30" s="595"/>
      <c r="J30" s="595"/>
      <c r="K30" s="595">
        <v>15007.03</v>
      </c>
      <c r="L30" s="564">
        <f t="shared" si="3"/>
        <v>15007.03</v>
      </c>
      <c r="M30" s="564">
        <v>15007.03</v>
      </c>
      <c r="N30" s="564">
        <v>0</v>
      </c>
      <c r="O30" s="763">
        <v>0</v>
      </c>
      <c r="P30" s="766" t="s">
        <v>395</v>
      </c>
      <c r="Q30" s="649"/>
    </row>
    <row r="31" spans="1:18" s="911" customFormat="1" ht="50.25" customHeight="1">
      <c r="A31" s="1144"/>
      <c r="B31" s="1093"/>
      <c r="C31" s="760"/>
      <c r="D31" s="411"/>
      <c r="E31" s="1248" t="s">
        <v>743</v>
      </c>
      <c r="F31" s="1248"/>
      <c r="G31" s="1248"/>
      <c r="H31" s="1248"/>
      <c r="I31" s="1248"/>
      <c r="J31" s="1248"/>
      <c r="K31" s="1248"/>
      <c r="L31" s="1248"/>
      <c r="M31" s="1248"/>
      <c r="N31" s="1248"/>
      <c r="O31" s="1249"/>
      <c r="P31" s="1145"/>
      <c r="Q31" s="910"/>
      <c r="R31" s="1146"/>
    </row>
    <row r="32" spans="1:18" s="381" customFormat="1" ht="85.5" customHeight="1">
      <c r="A32" s="1142"/>
      <c r="B32" s="1143"/>
      <c r="C32" s="593">
        <v>11</v>
      </c>
      <c r="D32" s="611"/>
      <c r="E32" s="486" t="s">
        <v>326</v>
      </c>
      <c r="F32" s="588"/>
      <c r="G32" s="595"/>
      <c r="H32" s="595"/>
      <c r="I32" s="595"/>
      <c r="J32" s="595"/>
      <c r="K32" s="595">
        <v>11157.53</v>
      </c>
      <c r="L32" s="564">
        <f t="shared" si="3"/>
        <v>11157.53</v>
      </c>
      <c r="M32" s="564">
        <v>11157.53</v>
      </c>
      <c r="N32" s="564">
        <v>0</v>
      </c>
      <c r="O32" s="763">
        <v>0</v>
      </c>
      <c r="P32" s="764" t="s">
        <v>395</v>
      </c>
      <c r="Q32" s="650"/>
    </row>
    <row r="33" spans="1:18" s="911" customFormat="1" ht="50.25" customHeight="1">
      <c r="A33" s="1144"/>
      <c r="B33" s="1093"/>
      <c r="C33" s="760"/>
      <c r="D33" s="411"/>
      <c r="E33" s="1248" t="s">
        <v>743</v>
      </c>
      <c r="F33" s="1248"/>
      <c r="G33" s="1248"/>
      <c r="H33" s="1248"/>
      <c r="I33" s="1248"/>
      <c r="J33" s="1248"/>
      <c r="K33" s="1248"/>
      <c r="L33" s="1248"/>
      <c r="M33" s="1248"/>
      <c r="N33" s="1248"/>
      <c r="O33" s="1249"/>
      <c r="P33" s="1145"/>
      <c r="Q33" s="910"/>
      <c r="R33" s="1146"/>
    </row>
    <row r="34" spans="1:18" s="231" customFormat="1" ht="73.5" customHeight="1">
      <c r="A34" s="1142"/>
      <c r="B34" s="1143"/>
      <c r="C34" s="593">
        <v>12</v>
      </c>
      <c r="D34" s="611"/>
      <c r="E34" s="486" t="s">
        <v>334</v>
      </c>
      <c r="F34" s="588"/>
      <c r="G34" s="595"/>
      <c r="H34" s="595"/>
      <c r="I34" s="595"/>
      <c r="J34" s="595"/>
      <c r="K34" s="595">
        <v>16600.96</v>
      </c>
      <c r="L34" s="564">
        <f t="shared" si="3"/>
        <v>16600.96</v>
      </c>
      <c r="M34" s="564">
        <v>16600.96</v>
      </c>
      <c r="N34" s="564">
        <v>0</v>
      </c>
      <c r="O34" s="763">
        <v>0</v>
      </c>
      <c r="P34" s="766" t="s">
        <v>395</v>
      </c>
      <c r="Q34" s="649"/>
    </row>
    <row r="35" spans="1:18" s="911" customFormat="1" ht="50.25" customHeight="1">
      <c r="A35" s="1144"/>
      <c r="B35" s="1093"/>
      <c r="C35" s="760"/>
      <c r="D35" s="411"/>
      <c r="E35" s="1248" t="s">
        <v>743</v>
      </c>
      <c r="F35" s="1248"/>
      <c r="G35" s="1248"/>
      <c r="H35" s="1248"/>
      <c r="I35" s="1248"/>
      <c r="J35" s="1248"/>
      <c r="K35" s="1248"/>
      <c r="L35" s="1248"/>
      <c r="M35" s="1248"/>
      <c r="N35" s="1248"/>
      <c r="O35" s="1249"/>
      <c r="P35" s="1145"/>
      <c r="Q35" s="910"/>
      <c r="R35" s="1146"/>
    </row>
    <row r="36" spans="1:18" s="231" customFormat="1" ht="84" customHeight="1">
      <c r="A36" s="1142"/>
      <c r="B36" s="1143"/>
      <c r="C36" s="630">
        <v>13</v>
      </c>
      <c r="D36" s="726"/>
      <c r="E36" s="486" t="s">
        <v>315</v>
      </c>
      <c r="F36" s="588"/>
      <c r="G36" s="595"/>
      <c r="H36" s="595"/>
      <c r="I36" s="595"/>
      <c r="J36" s="595"/>
      <c r="K36" s="595">
        <v>14195.02</v>
      </c>
      <c r="L36" s="564">
        <f t="shared" si="3"/>
        <v>14195.02</v>
      </c>
      <c r="M36" s="564">
        <v>14195.02</v>
      </c>
      <c r="N36" s="564">
        <v>0</v>
      </c>
      <c r="O36" s="763">
        <v>0</v>
      </c>
      <c r="P36" s="766" t="s">
        <v>395</v>
      </c>
      <c r="Q36" s="649"/>
    </row>
    <row r="37" spans="1:18" s="911" customFormat="1" ht="50.25" customHeight="1">
      <c r="A37" s="1144"/>
      <c r="B37" s="1093"/>
      <c r="C37" s="760"/>
      <c r="D37" s="411"/>
      <c r="E37" s="1248" t="s">
        <v>743</v>
      </c>
      <c r="F37" s="1248"/>
      <c r="G37" s="1248"/>
      <c r="H37" s="1248"/>
      <c r="I37" s="1248"/>
      <c r="J37" s="1248"/>
      <c r="K37" s="1248"/>
      <c r="L37" s="1248"/>
      <c r="M37" s="1248"/>
      <c r="N37" s="1248"/>
      <c r="O37" s="1249"/>
      <c r="P37" s="1145"/>
      <c r="Q37" s="910"/>
      <c r="R37" s="1146"/>
    </row>
    <row r="38" spans="1:18" s="231" customFormat="1" ht="74.25" customHeight="1">
      <c r="A38" s="1142"/>
      <c r="B38" s="1143"/>
      <c r="C38" s="593">
        <v>14</v>
      </c>
      <c r="D38" s="611"/>
      <c r="E38" s="486" t="s">
        <v>325</v>
      </c>
      <c r="F38" s="588"/>
      <c r="G38" s="595"/>
      <c r="H38" s="595"/>
      <c r="I38" s="595"/>
      <c r="J38" s="595"/>
      <c r="K38" s="595">
        <v>11759.01</v>
      </c>
      <c r="L38" s="564">
        <f t="shared" si="3"/>
        <v>11759.01</v>
      </c>
      <c r="M38" s="564">
        <v>11759.01</v>
      </c>
      <c r="N38" s="564">
        <v>0</v>
      </c>
      <c r="O38" s="763">
        <v>0</v>
      </c>
      <c r="P38" s="766" t="s">
        <v>395</v>
      </c>
      <c r="Q38" s="649"/>
    </row>
    <row r="39" spans="1:18" s="381" customFormat="1" ht="49.95" customHeight="1">
      <c r="A39" s="1142"/>
      <c r="B39" s="1143"/>
      <c r="C39" s="1174"/>
      <c r="D39" s="1207"/>
      <c r="E39" s="1248" t="s">
        <v>743</v>
      </c>
      <c r="F39" s="1248"/>
      <c r="G39" s="1248"/>
      <c r="H39" s="1248"/>
      <c r="I39" s="1248"/>
      <c r="J39" s="1248"/>
      <c r="K39" s="1248"/>
      <c r="L39" s="1248"/>
      <c r="M39" s="1248"/>
      <c r="N39" s="1248"/>
      <c r="O39" s="1249"/>
      <c r="P39" s="764"/>
      <c r="Q39" s="650"/>
    </row>
    <row r="40" spans="1:18" s="231" customFormat="1" ht="103.5" customHeight="1">
      <c r="A40" s="1142"/>
      <c r="B40" s="1143"/>
      <c r="C40" s="630">
        <v>15</v>
      </c>
      <c r="D40" s="726"/>
      <c r="E40" s="486" t="s">
        <v>314</v>
      </c>
      <c r="F40" s="588"/>
      <c r="G40" s="595"/>
      <c r="H40" s="595"/>
      <c r="I40" s="595"/>
      <c r="J40" s="595"/>
      <c r="K40" s="595">
        <v>14856.65</v>
      </c>
      <c r="L40" s="564">
        <f t="shared" si="3"/>
        <v>14856.65</v>
      </c>
      <c r="M40" s="564">
        <v>0</v>
      </c>
      <c r="N40" s="564">
        <v>0</v>
      </c>
      <c r="O40" s="763">
        <v>0</v>
      </c>
      <c r="P40" s="766" t="s">
        <v>395</v>
      </c>
      <c r="Q40" s="649"/>
    </row>
    <row r="41" spans="1:18" s="381" customFormat="1" ht="67.2" customHeight="1">
      <c r="A41" s="1142"/>
      <c r="B41" s="1143"/>
      <c r="C41" s="1174"/>
      <c r="D41" s="1207"/>
      <c r="E41" s="1248" t="s">
        <v>744</v>
      </c>
      <c r="F41" s="1248"/>
      <c r="G41" s="1248"/>
      <c r="H41" s="1248"/>
      <c r="I41" s="1248"/>
      <c r="J41" s="1248"/>
      <c r="K41" s="1248"/>
      <c r="L41" s="1248"/>
      <c r="M41" s="1248"/>
      <c r="N41" s="1248"/>
      <c r="O41" s="1249"/>
      <c r="P41" s="764"/>
      <c r="Q41" s="650"/>
    </row>
    <row r="42" spans="1:18" s="231" customFormat="1" ht="75.75" customHeight="1">
      <c r="A42" s="1142"/>
      <c r="B42" s="1143"/>
      <c r="C42" s="593">
        <v>16</v>
      </c>
      <c r="D42" s="611"/>
      <c r="E42" s="486" t="s">
        <v>313</v>
      </c>
      <c r="F42" s="588"/>
      <c r="G42" s="595"/>
      <c r="H42" s="595"/>
      <c r="I42" s="595"/>
      <c r="J42" s="595"/>
      <c r="K42" s="595">
        <v>7939.59</v>
      </c>
      <c r="L42" s="564">
        <f t="shared" si="3"/>
        <v>7939.59</v>
      </c>
      <c r="M42" s="564">
        <v>7939.59</v>
      </c>
      <c r="N42" s="564">
        <v>0</v>
      </c>
      <c r="O42" s="763">
        <v>0</v>
      </c>
      <c r="P42" s="766" t="s">
        <v>395</v>
      </c>
      <c r="Q42" s="649"/>
    </row>
    <row r="43" spans="1:18" s="381" customFormat="1" ht="49.95" customHeight="1">
      <c r="A43" s="1142"/>
      <c r="B43" s="1143"/>
      <c r="C43" s="1174"/>
      <c r="D43" s="1207"/>
      <c r="E43" s="1248" t="s">
        <v>743</v>
      </c>
      <c r="F43" s="1248"/>
      <c r="G43" s="1248"/>
      <c r="H43" s="1248"/>
      <c r="I43" s="1248"/>
      <c r="J43" s="1248"/>
      <c r="K43" s="1248"/>
      <c r="L43" s="1248"/>
      <c r="M43" s="1248"/>
      <c r="N43" s="1248"/>
      <c r="O43" s="1249"/>
      <c r="P43" s="764"/>
      <c r="Q43" s="650"/>
    </row>
    <row r="44" spans="1:18" s="231" customFormat="1" ht="75.75" customHeight="1">
      <c r="A44" s="1142"/>
      <c r="B44" s="1143"/>
      <c r="C44" s="593">
        <v>17</v>
      </c>
      <c r="D44" s="611"/>
      <c r="E44" s="1209" t="s">
        <v>339</v>
      </c>
      <c r="F44" s="588"/>
      <c r="G44" s="595"/>
      <c r="H44" s="595"/>
      <c r="I44" s="595"/>
      <c r="J44" s="595"/>
      <c r="K44" s="595">
        <v>5225</v>
      </c>
      <c r="L44" s="564">
        <f t="shared" si="3"/>
        <v>5225</v>
      </c>
      <c r="M44" s="564">
        <v>5225</v>
      </c>
      <c r="N44" s="564">
        <v>0</v>
      </c>
      <c r="O44" s="763">
        <v>0</v>
      </c>
      <c r="P44" s="766" t="s">
        <v>395</v>
      </c>
      <c r="Q44" s="649"/>
    </row>
    <row r="45" spans="1:18" s="381" customFormat="1" ht="49.95" customHeight="1">
      <c r="A45" s="1142"/>
      <c r="B45" s="1143"/>
      <c r="C45" s="1174"/>
      <c r="D45" s="1207"/>
      <c r="E45" s="1248" t="s">
        <v>743</v>
      </c>
      <c r="F45" s="1248"/>
      <c r="G45" s="1248"/>
      <c r="H45" s="1248"/>
      <c r="I45" s="1248"/>
      <c r="J45" s="1248"/>
      <c r="K45" s="1248"/>
      <c r="L45" s="1248"/>
      <c r="M45" s="1248"/>
      <c r="N45" s="1248"/>
      <c r="O45" s="1249"/>
      <c r="P45" s="764"/>
      <c r="Q45" s="650"/>
    </row>
    <row r="46" spans="1:18" s="381" customFormat="1" ht="89.25" customHeight="1">
      <c r="A46" s="1142"/>
      <c r="B46" s="1143"/>
      <c r="C46" s="593">
        <v>18</v>
      </c>
      <c r="D46" s="611"/>
      <c r="E46" s="1209" t="s">
        <v>321</v>
      </c>
      <c r="F46" s="588"/>
      <c r="G46" s="595"/>
      <c r="H46" s="595"/>
      <c r="I46" s="595"/>
      <c r="J46" s="595"/>
      <c r="K46" s="595">
        <v>5797</v>
      </c>
      <c r="L46" s="564">
        <f t="shared" si="3"/>
        <v>5797</v>
      </c>
      <c r="M46" s="564">
        <v>5797</v>
      </c>
      <c r="N46" s="564">
        <v>0</v>
      </c>
      <c r="O46" s="763">
        <v>0</v>
      </c>
      <c r="P46" s="764" t="s">
        <v>395</v>
      </c>
      <c r="Q46" s="650"/>
    </row>
    <row r="47" spans="1:18" s="231" customFormat="1" ht="49.95" customHeight="1">
      <c r="A47" s="1142"/>
      <c r="B47" s="1143"/>
      <c r="C47" s="1174"/>
      <c r="D47" s="1207"/>
      <c r="E47" s="1248" t="s">
        <v>743</v>
      </c>
      <c r="F47" s="1248"/>
      <c r="G47" s="1248"/>
      <c r="H47" s="1248"/>
      <c r="I47" s="1248"/>
      <c r="J47" s="1248"/>
      <c r="K47" s="1248"/>
      <c r="L47" s="1248"/>
      <c r="M47" s="1248"/>
      <c r="N47" s="1248"/>
      <c r="O47" s="1249"/>
      <c r="P47" s="766"/>
      <c r="Q47" s="649"/>
    </row>
    <row r="48" spans="1:18" s="231" customFormat="1" ht="89.25" customHeight="1">
      <c r="A48" s="1142"/>
      <c r="B48" s="1143"/>
      <c r="C48" s="630">
        <v>19</v>
      </c>
      <c r="D48" s="726"/>
      <c r="E48" s="1209" t="s">
        <v>328</v>
      </c>
      <c r="F48" s="588"/>
      <c r="G48" s="595"/>
      <c r="H48" s="595"/>
      <c r="I48" s="595"/>
      <c r="J48" s="595"/>
      <c r="K48" s="595">
        <v>18044.52</v>
      </c>
      <c r="L48" s="564">
        <f t="shared" si="3"/>
        <v>18044.52</v>
      </c>
      <c r="M48" s="564">
        <v>18044.52</v>
      </c>
      <c r="N48" s="564">
        <v>0</v>
      </c>
      <c r="O48" s="763">
        <v>0</v>
      </c>
      <c r="P48" s="766" t="s">
        <v>395</v>
      </c>
      <c r="Q48" s="649"/>
    </row>
    <row r="49" spans="1:18" s="231" customFormat="1" ht="49.95" customHeight="1">
      <c r="A49" s="1142"/>
      <c r="B49" s="1143"/>
      <c r="C49" s="1174"/>
      <c r="D49" s="1207"/>
      <c r="E49" s="1248" t="s">
        <v>743</v>
      </c>
      <c r="F49" s="1248"/>
      <c r="G49" s="1248"/>
      <c r="H49" s="1248"/>
      <c r="I49" s="1248"/>
      <c r="J49" s="1248"/>
      <c r="K49" s="1248"/>
      <c r="L49" s="1248"/>
      <c r="M49" s="1248"/>
      <c r="N49" s="1248"/>
      <c r="O49" s="1249"/>
      <c r="P49" s="766"/>
      <c r="Q49" s="649"/>
    </row>
    <row r="50" spans="1:18" s="381" customFormat="1" ht="134.25" customHeight="1">
      <c r="A50" s="396"/>
      <c r="B50" s="397"/>
      <c r="C50" s="727">
        <v>20</v>
      </c>
      <c r="D50" s="746"/>
      <c r="E50" s="745" t="s">
        <v>352</v>
      </c>
      <c r="F50" s="588"/>
      <c r="G50" s="595"/>
      <c r="H50" s="595"/>
      <c r="I50" s="595"/>
      <c r="J50" s="595"/>
      <c r="K50" s="595">
        <v>4000</v>
      </c>
      <c r="L50" s="564">
        <f t="shared" si="3"/>
        <v>4000</v>
      </c>
      <c r="M50" s="564">
        <v>4000</v>
      </c>
      <c r="N50" s="564">
        <v>0</v>
      </c>
      <c r="O50" s="763">
        <v>0</v>
      </c>
      <c r="P50" s="764" t="s">
        <v>395</v>
      </c>
      <c r="Q50" s="650"/>
    </row>
    <row r="51" spans="1:18" s="231" customFormat="1" ht="49.95" customHeight="1">
      <c r="A51" s="1142"/>
      <c r="B51" s="1143"/>
      <c r="C51" s="1174"/>
      <c r="D51" s="1207"/>
      <c r="E51" s="1248" t="s">
        <v>743</v>
      </c>
      <c r="F51" s="1248"/>
      <c r="G51" s="1248"/>
      <c r="H51" s="1248"/>
      <c r="I51" s="1248"/>
      <c r="J51" s="1248"/>
      <c r="K51" s="1248"/>
      <c r="L51" s="1248"/>
      <c r="M51" s="1248"/>
      <c r="N51" s="1248"/>
      <c r="O51" s="1249"/>
      <c r="P51" s="766"/>
      <c r="Q51" s="649"/>
    </row>
    <row r="52" spans="1:18" s="381" customFormat="1" ht="98.25" customHeight="1">
      <c r="A52" s="1142"/>
      <c r="B52" s="1143"/>
      <c r="C52" s="593">
        <v>21</v>
      </c>
      <c r="D52" s="611"/>
      <c r="E52" s="486" t="s">
        <v>308</v>
      </c>
      <c r="F52" s="588"/>
      <c r="G52" s="595"/>
      <c r="H52" s="595"/>
      <c r="I52" s="595"/>
      <c r="J52" s="595"/>
      <c r="K52" s="595">
        <v>30000</v>
      </c>
      <c r="L52" s="564">
        <f t="shared" si="3"/>
        <v>30000</v>
      </c>
      <c r="M52" s="564">
        <v>30000</v>
      </c>
      <c r="N52" s="564">
        <v>29470.799999999999</v>
      </c>
      <c r="O52" s="763">
        <f>N52/M52</f>
        <v>0.98236000000000001</v>
      </c>
      <c r="P52" s="764" t="s">
        <v>395</v>
      </c>
      <c r="Q52" s="650"/>
    </row>
    <row r="53" spans="1:18" s="911" customFormat="1" ht="57.75" customHeight="1">
      <c r="A53" s="1144"/>
      <c r="B53" s="1093"/>
      <c r="C53" s="760"/>
      <c r="D53" s="411"/>
      <c r="E53" s="1248" t="s">
        <v>730</v>
      </c>
      <c r="F53" s="1248"/>
      <c r="G53" s="1248"/>
      <c r="H53" s="1248"/>
      <c r="I53" s="1248"/>
      <c r="J53" s="1248"/>
      <c r="K53" s="1248"/>
      <c r="L53" s="1248"/>
      <c r="M53" s="1248"/>
      <c r="N53" s="1248"/>
      <c r="O53" s="1249"/>
      <c r="P53" s="1145"/>
      <c r="Q53" s="910"/>
      <c r="R53" s="1146"/>
    </row>
    <row r="54" spans="1:18" s="231" customFormat="1" ht="71.25" customHeight="1">
      <c r="A54" s="1142"/>
      <c r="B54" s="1143"/>
      <c r="C54" s="593">
        <v>22</v>
      </c>
      <c r="D54" s="611"/>
      <c r="E54" s="486" t="s">
        <v>309</v>
      </c>
      <c r="F54" s="588"/>
      <c r="G54" s="595"/>
      <c r="H54" s="595"/>
      <c r="I54" s="595"/>
      <c r="J54" s="595"/>
      <c r="K54" s="595">
        <v>20000</v>
      </c>
      <c r="L54" s="564">
        <f t="shared" si="3"/>
        <v>20000</v>
      </c>
      <c r="M54" s="564">
        <v>20000</v>
      </c>
      <c r="N54" s="564">
        <v>0</v>
      </c>
      <c r="O54" s="763">
        <v>0</v>
      </c>
      <c r="P54" s="766" t="s">
        <v>395</v>
      </c>
      <c r="Q54" s="649"/>
    </row>
    <row r="55" spans="1:18" s="231" customFormat="1" ht="49.95" customHeight="1">
      <c r="A55" s="1142"/>
      <c r="B55" s="1143"/>
      <c r="C55" s="1174"/>
      <c r="D55" s="1207"/>
      <c r="E55" s="1248" t="s">
        <v>743</v>
      </c>
      <c r="F55" s="1248"/>
      <c r="G55" s="1248"/>
      <c r="H55" s="1248"/>
      <c r="I55" s="1248"/>
      <c r="J55" s="1248"/>
      <c r="K55" s="1248"/>
      <c r="L55" s="1248"/>
      <c r="M55" s="1248"/>
      <c r="N55" s="1248"/>
      <c r="O55" s="1249"/>
      <c r="P55" s="766"/>
      <c r="Q55" s="649"/>
    </row>
    <row r="56" spans="1:18" s="231" customFormat="1" ht="61.5" customHeight="1">
      <c r="A56" s="743"/>
      <c r="B56" s="696"/>
      <c r="C56" s="630">
        <v>23</v>
      </c>
      <c r="D56" s="726"/>
      <c r="E56" s="486" t="s">
        <v>702</v>
      </c>
      <c r="F56" s="588"/>
      <c r="G56" s="595"/>
      <c r="H56" s="595"/>
      <c r="I56" s="595"/>
      <c r="J56" s="595"/>
      <c r="K56" s="595">
        <v>210000</v>
      </c>
      <c r="L56" s="564">
        <f t="shared" si="3"/>
        <v>210000</v>
      </c>
      <c r="M56" s="564">
        <v>210000</v>
      </c>
      <c r="N56" s="564">
        <v>2600</v>
      </c>
      <c r="O56" s="763">
        <v>0</v>
      </c>
      <c r="P56" s="766" t="s">
        <v>395</v>
      </c>
      <c r="Q56" s="649"/>
    </row>
    <row r="57" spans="1:18" s="231" customFormat="1" ht="49.95" customHeight="1">
      <c r="A57" s="1142"/>
      <c r="B57" s="1143"/>
      <c r="C57" s="1174"/>
      <c r="D57" s="1207"/>
      <c r="E57" s="1248" t="s">
        <v>743</v>
      </c>
      <c r="F57" s="1248"/>
      <c r="G57" s="1248"/>
      <c r="H57" s="1248"/>
      <c r="I57" s="1248"/>
      <c r="J57" s="1248"/>
      <c r="K57" s="1248"/>
      <c r="L57" s="1248"/>
      <c r="M57" s="1248"/>
      <c r="N57" s="1248"/>
      <c r="O57" s="1249"/>
      <c r="P57" s="766"/>
      <c r="Q57" s="649"/>
    </row>
    <row r="58" spans="1:18" s="231" customFormat="1" ht="71.25" customHeight="1">
      <c r="A58" s="1142"/>
      <c r="B58" s="1143"/>
      <c r="C58" s="593">
        <v>24</v>
      </c>
      <c r="D58" s="611"/>
      <c r="E58" s="486" t="s">
        <v>310</v>
      </c>
      <c r="F58" s="588"/>
      <c r="G58" s="595"/>
      <c r="H58" s="595"/>
      <c r="I58" s="595"/>
      <c r="J58" s="595"/>
      <c r="K58" s="595">
        <v>20000</v>
      </c>
      <c r="L58" s="564">
        <f t="shared" ref="L58:L61" si="5">SUM(F58:K58)</f>
        <v>20000</v>
      </c>
      <c r="M58" s="564">
        <v>20000</v>
      </c>
      <c r="N58" s="564">
        <v>0</v>
      </c>
      <c r="O58" s="763">
        <v>0</v>
      </c>
      <c r="P58" s="766" t="s">
        <v>395</v>
      </c>
      <c r="Q58" s="649"/>
    </row>
    <row r="59" spans="1:18" s="231" customFormat="1" ht="49.95" customHeight="1">
      <c r="A59" s="1142"/>
      <c r="B59" s="1143"/>
      <c r="C59" s="1174"/>
      <c r="D59" s="1207"/>
      <c r="E59" s="1248" t="s">
        <v>743</v>
      </c>
      <c r="F59" s="1248"/>
      <c r="G59" s="1248"/>
      <c r="H59" s="1248"/>
      <c r="I59" s="1248"/>
      <c r="J59" s="1248"/>
      <c r="K59" s="1248"/>
      <c r="L59" s="1248"/>
      <c r="M59" s="1248"/>
      <c r="N59" s="1248"/>
      <c r="O59" s="1249"/>
      <c r="P59" s="766"/>
      <c r="Q59" s="649"/>
    </row>
    <row r="60" spans="1:18" s="381" customFormat="1" ht="71.25" customHeight="1">
      <c r="A60" s="396"/>
      <c r="B60" s="397"/>
      <c r="C60" s="593">
        <v>25</v>
      </c>
      <c r="D60" s="611"/>
      <c r="E60" s="629" t="s">
        <v>244</v>
      </c>
      <c r="F60" s="588"/>
      <c r="G60" s="588"/>
      <c r="H60" s="588"/>
      <c r="I60" s="588"/>
      <c r="J60" s="588"/>
      <c r="K60" s="588">
        <v>250</v>
      </c>
      <c r="L60" s="564">
        <f t="shared" si="5"/>
        <v>250</v>
      </c>
      <c r="M60" s="564">
        <f>38920</f>
        <v>38920</v>
      </c>
      <c r="N60" s="564">
        <f>38304+366+242</f>
        <v>38912</v>
      </c>
      <c r="O60" s="763">
        <f>N60/M60</f>
        <v>0.99979445015416235</v>
      </c>
      <c r="P60" s="764" t="s">
        <v>395</v>
      </c>
      <c r="Q60" s="650"/>
    </row>
    <row r="61" spans="1:18" s="381" customFormat="1" ht="57" customHeight="1">
      <c r="A61" s="396"/>
      <c r="B61" s="397"/>
      <c r="C61" s="593">
        <v>26</v>
      </c>
      <c r="D61" s="611"/>
      <c r="E61" s="629" t="s">
        <v>332</v>
      </c>
      <c r="F61" s="588"/>
      <c r="G61" s="588"/>
      <c r="H61" s="588"/>
      <c r="I61" s="588"/>
      <c r="J61" s="588"/>
      <c r="K61" s="588">
        <v>80000</v>
      </c>
      <c r="L61" s="564">
        <f t="shared" si="5"/>
        <v>80000</v>
      </c>
      <c r="M61" s="564">
        <v>80000</v>
      </c>
      <c r="N61" s="564">
        <f>238.3+5502.28+907.87+162.42+1557</f>
        <v>8367.869999999999</v>
      </c>
      <c r="O61" s="763">
        <f>N61/M61</f>
        <v>0.10459837499999999</v>
      </c>
      <c r="P61" s="764" t="s">
        <v>395</v>
      </c>
      <c r="Q61" s="650"/>
    </row>
    <row r="62" spans="1:18" s="231" customFormat="1" ht="58.5" customHeight="1">
      <c r="A62" s="1142"/>
      <c r="B62" s="1143"/>
      <c r="C62" s="630">
        <v>27</v>
      </c>
      <c r="D62" s="726"/>
      <c r="E62" s="486" t="s">
        <v>287</v>
      </c>
      <c r="F62" s="588"/>
      <c r="G62" s="595"/>
      <c r="H62" s="595"/>
      <c r="I62" s="595"/>
      <c r="J62" s="595"/>
      <c r="K62" s="595">
        <v>4500000</v>
      </c>
      <c r="L62" s="564">
        <f t="shared" ref="L62:L82" si="6">SUM(F62:K62)</f>
        <v>4500000</v>
      </c>
      <c r="M62" s="564">
        <v>2078739</v>
      </c>
      <c r="N62" s="564">
        <v>134</v>
      </c>
      <c r="O62" s="763">
        <f>N62/M62</f>
        <v>6.4462157105822323E-5</v>
      </c>
      <c r="P62" s="766" t="s">
        <v>395</v>
      </c>
      <c r="Q62" s="649"/>
    </row>
    <row r="63" spans="1:18" s="231" customFormat="1" ht="49.95" customHeight="1">
      <c r="A63" s="1142"/>
      <c r="B63" s="1143"/>
      <c r="C63" s="1174"/>
      <c r="D63" s="1207"/>
      <c r="E63" s="1248" t="s">
        <v>743</v>
      </c>
      <c r="F63" s="1248"/>
      <c r="G63" s="1248"/>
      <c r="H63" s="1248"/>
      <c r="I63" s="1248"/>
      <c r="J63" s="1248"/>
      <c r="K63" s="1248"/>
      <c r="L63" s="1248"/>
      <c r="M63" s="1248"/>
      <c r="N63" s="1248"/>
      <c r="O63" s="1249"/>
      <c r="P63" s="766"/>
      <c r="Q63" s="649"/>
    </row>
    <row r="64" spans="1:18" s="381" customFormat="1" ht="119.25" customHeight="1">
      <c r="A64" s="1142"/>
      <c r="B64" s="1143"/>
      <c r="C64" s="630">
        <v>28</v>
      </c>
      <c r="D64" s="726"/>
      <c r="E64" s="486" t="s">
        <v>340</v>
      </c>
      <c r="F64" s="588"/>
      <c r="G64" s="595"/>
      <c r="H64" s="595"/>
      <c r="I64" s="595"/>
      <c r="J64" s="595"/>
      <c r="K64" s="595">
        <v>60000</v>
      </c>
      <c r="L64" s="564">
        <f t="shared" si="6"/>
        <v>60000</v>
      </c>
      <c r="M64" s="564">
        <v>68000</v>
      </c>
      <c r="N64" s="564">
        <v>0</v>
      </c>
      <c r="O64" s="763">
        <v>0</v>
      </c>
      <c r="P64" s="764" t="s">
        <v>395</v>
      </c>
      <c r="Q64" s="650"/>
    </row>
    <row r="65" spans="1:20" s="911" customFormat="1" ht="57.75" customHeight="1">
      <c r="A65" s="1144"/>
      <c r="B65" s="1093"/>
      <c r="C65" s="760"/>
      <c r="D65" s="411"/>
      <c r="E65" s="1248" t="s">
        <v>692</v>
      </c>
      <c r="F65" s="1248"/>
      <c r="G65" s="1248"/>
      <c r="H65" s="1248"/>
      <c r="I65" s="1248"/>
      <c r="J65" s="1248"/>
      <c r="K65" s="1248"/>
      <c r="L65" s="1248"/>
      <c r="M65" s="1248"/>
      <c r="N65" s="1248"/>
      <c r="O65" s="1249"/>
      <c r="P65" s="1145"/>
      <c r="Q65" s="910"/>
      <c r="R65" s="1146"/>
    </row>
    <row r="66" spans="1:20" s="381" customFormat="1" ht="73.5" customHeight="1">
      <c r="A66" s="396"/>
      <c r="B66" s="397"/>
      <c r="C66" s="630">
        <v>29</v>
      </c>
      <c r="D66" s="726"/>
      <c r="E66" s="629" t="s">
        <v>341</v>
      </c>
      <c r="F66" s="588"/>
      <c r="G66" s="588"/>
      <c r="H66" s="588"/>
      <c r="I66" s="588"/>
      <c r="J66" s="588"/>
      <c r="K66" s="588">
        <f>100000-50000</f>
        <v>50000</v>
      </c>
      <c r="L66" s="564">
        <f t="shared" si="6"/>
        <v>50000</v>
      </c>
      <c r="M66" s="564">
        <v>43000</v>
      </c>
      <c r="N66" s="564">
        <v>0</v>
      </c>
      <c r="O66" s="763">
        <v>0</v>
      </c>
      <c r="P66" s="764" t="s">
        <v>395</v>
      </c>
      <c r="Q66" s="650"/>
    </row>
    <row r="67" spans="1:20" s="911" customFormat="1" ht="57.75" customHeight="1">
      <c r="A67" s="1144"/>
      <c r="B67" s="1093"/>
      <c r="C67" s="760"/>
      <c r="D67" s="411"/>
      <c r="E67" s="1248" t="s">
        <v>692</v>
      </c>
      <c r="F67" s="1248"/>
      <c r="G67" s="1248"/>
      <c r="H67" s="1248"/>
      <c r="I67" s="1248"/>
      <c r="J67" s="1248"/>
      <c r="K67" s="1248"/>
      <c r="L67" s="1248"/>
      <c r="M67" s="1248"/>
      <c r="N67" s="1248"/>
      <c r="O67" s="1249"/>
      <c r="P67" s="1145"/>
      <c r="Q67" s="910"/>
      <c r="R67" s="1146"/>
    </row>
    <row r="68" spans="1:20" s="381" customFormat="1" ht="69.75" customHeight="1">
      <c r="A68" s="1142"/>
      <c r="B68" s="1143"/>
      <c r="C68" s="630">
        <v>30</v>
      </c>
      <c r="D68" s="726"/>
      <c r="E68" s="629" t="s">
        <v>357</v>
      </c>
      <c r="F68" s="588"/>
      <c r="G68" s="588"/>
      <c r="H68" s="588"/>
      <c r="I68" s="588"/>
      <c r="J68" s="588"/>
      <c r="K68" s="588">
        <v>1000000</v>
      </c>
      <c r="L68" s="564">
        <f t="shared" si="6"/>
        <v>1000000</v>
      </c>
      <c r="M68" s="564">
        <v>1000000</v>
      </c>
      <c r="N68" s="564">
        <v>5600</v>
      </c>
      <c r="O68" s="763">
        <f>N68/M68</f>
        <v>5.5999999999999999E-3</v>
      </c>
      <c r="P68" s="764" t="s">
        <v>395</v>
      </c>
      <c r="Q68" s="650"/>
    </row>
    <row r="69" spans="1:20" s="911" customFormat="1" ht="67.2" customHeight="1">
      <c r="A69" s="1144"/>
      <c r="B69" s="1093"/>
      <c r="C69" s="760"/>
      <c r="D69" s="411"/>
      <c r="E69" s="1248" t="s">
        <v>731</v>
      </c>
      <c r="F69" s="1248"/>
      <c r="G69" s="1248"/>
      <c r="H69" s="1248"/>
      <c r="I69" s="1248"/>
      <c r="J69" s="1248"/>
      <c r="K69" s="1248"/>
      <c r="L69" s="1248"/>
      <c r="M69" s="1248"/>
      <c r="N69" s="1248"/>
      <c r="O69" s="1249"/>
      <c r="P69" s="1145"/>
      <c r="Q69" s="910"/>
      <c r="R69" s="1146"/>
    </row>
    <row r="70" spans="1:20" s="381" customFormat="1" ht="60" customHeight="1">
      <c r="A70" s="743"/>
      <c r="B70" s="696"/>
      <c r="C70" s="630">
        <v>31</v>
      </c>
      <c r="D70" s="726"/>
      <c r="E70" s="1147" t="s">
        <v>360</v>
      </c>
      <c r="F70" s="588"/>
      <c r="G70" s="588"/>
      <c r="H70" s="588"/>
      <c r="I70" s="588"/>
      <c r="J70" s="588"/>
      <c r="K70" s="588">
        <v>20000</v>
      </c>
      <c r="L70" s="564">
        <f t="shared" si="6"/>
        <v>20000</v>
      </c>
      <c r="M70" s="564">
        <v>20000</v>
      </c>
      <c r="N70" s="564">
        <v>0</v>
      </c>
      <c r="O70" s="763">
        <v>0</v>
      </c>
      <c r="P70" s="764" t="s">
        <v>395</v>
      </c>
      <c r="Q70" s="650"/>
    </row>
    <row r="71" spans="1:20" s="911" customFormat="1" ht="57.75" customHeight="1">
      <c r="A71" s="1144"/>
      <c r="B71" s="1093"/>
      <c r="C71" s="1151"/>
      <c r="D71" s="1152"/>
      <c r="E71" s="1250" t="s">
        <v>693</v>
      </c>
      <c r="F71" s="1250"/>
      <c r="G71" s="1250"/>
      <c r="H71" s="1250"/>
      <c r="I71" s="1250"/>
      <c r="J71" s="1250"/>
      <c r="K71" s="1250"/>
      <c r="L71" s="1250"/>
      <c r="M71" s="1250"/>
      <c r="N71" s="1250"/>
      <c r="O71" s="1251"/>
      <c r="P71" s="1145"/>
      <c r="Q71" s="910"/>
      <c r="R71" s="1146"/>
    </row>
    <row r="72" spans="1:20" s="381" customFormat="1" ht="60" customHeight="1">
      <c r="A72" s="743"/>
      <c r="B72" s="696"/>
      <c r="C72" s="630">
        <v>32</v>
      </c>
      <c r="D72" s="726"/>
      <c r="E72" s="1147" t="s">
        <v>370</v>
      </c>
      <c r="F72" s="588"/>
      <c r="G72" s="588"/>
      <c r="H72" s="588"/>
      <c r="I72" s="588"/>
      <c r="J72" s="588"/>
      <c r="K72" s="588">
        <v>20000</v>
      </c>
      <c r="L72" s="564">
        <f t="shared" si="6"/>
        <v>20000</v>
      </c>
      <c r="M72" s="564">
        <v>833500</v>
      </c>
      <c r="N72" s="564">
        <v>258886.58</v>
      </c>
      <c r="O72" s="763">
        <f>N72/M72</f>
        <v>0.31060177564487101</v>
      </c>
      <c r="P72" s="764" t="s">
        <v>395</v>
      </c>
      <c r="Q72" s="650"/>
    </row>
    <row r="73" spans="1:20" s="911" customFormat="1" ht="63" customHeight="1">
      <c r="A73" s="1144"/>
      <c r="B73" s="1093"/>
      <c r="C73" s="1148"/>
      <c r="D73" s="1149"/>
      <c r="E73" s="1248" t="s">
        <v>732</v>
      </c>
      <c r="F73" s="1248"/>
      <c r="G73" s="1248"/>
      <c r="H73" s="1248"/>
      <c r="I73" s="1248"/>
      <c r="J73" s="1248"/>
      <c r="K73" s="1248"/>
      <c r="L73" s="1248"/>
      <c r="M73" s="1248"/>
      <c r="N73" s="1248"/>
      <c r="O73" s="1249"/>
      <c r="P73" s="1145"/>
      <c r="Q73" s="1150"/>
      <c r="R73" s="1146"/>
    </row>
    <row r="74" spans="1:20" s="76" customFormat="1" ht="55.5" customHeight="1">
      <c r="A74" s="83">
        <v>3</v>
      </c>
      <c r="B74" s="82">
        <v>700</v>
      </c>
      <c r="C74" s="81"/>
      <c r="D74" s="80"/>
      <c r="E74" s="79" t="s">
        <v>131</v>
      </c>
      <c r="F74" s="78">
        <f t="shared" ref="F74:K74" si="7">F75+F100</f>
        <v>0</v>
      </c>
      <c r="G74" s="78">
        <f t="shared" si="7"/>
        <v>0</v>
      </c>
      <c r="H74" s="78">
        <f t="shared" si="7"/>
        <v>0</v>
      </c>
      <c r="I74" s="78">
        <f t="shared" si="7"/>
        <v>0</v>
      </c>
      <c r="J74" s="78">
        <f t="shared" si="7"/>
        <v>0</v>
      </c>
      <c r="K74" s="78">
        <f t="shared" si="7"/>
        <v>2048700</v>
      </c>
      <c r="L74" s="77">
        <f t="shared" si="6"/>
        <v>2048700</v>
      </c>
      <c r="M74" s="77">
        <f>M75+M100</f>
        <v>1057330</v>
      </c>
      <c r="N74" s="77">
        <f>N75+N100</f>
        <v>280099.24</v>
      </c>
      <c r="O74" s="834">
        <f>N74/M74</f>
        <v>0.26491184398437573</v>
      </c>
      <c r="P74" s="764" t="s">
        <v>395</v>
      </c>
      <c r="Q74" s="650"/>
    </row>
    <row r="75" spans="1:20" s="64" customFormat="1" ht="55.5" customHeight="1">
      <c r="A75" s="635"/>
      <c r="B75" s="75">
        <v>70005</v>
      </c>
      <c r="C75" s="74"/>
      <c r="D75" s="73"/>
      <c r="E75" s="72" t="s">
        <v>130</v>
      </c>
      <c r="F75" s="92">
        <f>F76+F78+F80+F82+F86+F92+F84</f>
        <v>0</v>
      </c>
      <c r="G75" s="92">
        <f>G76+G78+G80+G82+G86+G92+G84</f>
        <v>0</v>
      </c>
      <c r="H75" s="92">
        <f>H76+H78+H80+H82+H86+H92+H84</f>
        <v>0</v>
      </c>
      <c r="I75" s="92">
        <f>I76+I78+I80+I82+I86+I92+I84</f>
        <v>0</v>
      </c>
      <c r="J75" s="92">
        <f>J76+J78+J80+J82+J86+J92+J84</f>
        <v>0</v>
      </c>
      <c r="K75" s="92">
        <f>K76+K78+K80+K82+K86+K92+K84+K88+K90+K94</f>
        <v>683330</v>
      </c>
      <c r="L75" s="92">
        <f t="shared" si="6"/>
        <v>683330</v>
      </c>
      <c r="M75" s="92">
        <f>M76+M78+M80+M82+M84+M86+M88+M90+M92+M94+M96+M98</f>
        <v>702363</v>
      </c>
      <c r="N75" s="92">
        <f>N76+N78+N80+N82+N84+N86+N88+N90+N92+N94+N96+N98</f>
        <v>280070.24</v>
      </c>
      <c r="O75" s="755">
        <f>N75/M75</f>
        <v>0.39875426239707956</v>
      </c>
      <c r="P75" s="764" t="s">
        <v>395</v>
      </c>
      <c r="Q75" s="650"/>
    </row>
    <row r="76" spans="1:20" s="377" customFormat="1" ht="54.6" customHeight="1">
      <c r="A76" s="636"/>
      <c r="B76" s="297"/>
      <c r="C76" s="380">
        <v>1</v>
      </c>
      <c r="D76" s="267"/>
      <c r="E76" s="379" t="s">
        <v>733</v>
      </c>
      <c r="F76" s="490"/>
      <c r="G76" s="378"/>
      <c r="H76" s="378"/>
      <c r="I76" s="378"/>
      <c r="J76" s="378"/>
      <c r="K76" s="414">
        <v>340000</v>
      </c>
      <c r="L76" s="414">
        <f t="shared" si="6"/>
        <v>340000</v>
      </c>
      <c r="M76" s="414">
        <v>348173</v>
      </c>
      <c r="N76" s="414">
        <f>156353.51+3004+29</f>
        <v>159386.51</v>
      </c>
      <c r="O76" s="841">
        <f>N76/M76</f>
        <v>0.45777963828326723</v>
      </c>
      <c r="P76" s="769" t="s">
        <v>395</v>
      </c>
      <c r="Q76" s="653"/>
    </row>
    <row r="77" spans="1:20" s="762" customFormat="1" ht="177.75" customHeight="1">
      <c r="A77" s="1144"/>
      <c r="B77" s="1093"/>
      <c r="C77" s="1161"/>
      <c r="D77" s="538"/>
      <c r="E77" s="1256" t="s">
        <v>697</v>
      </c>
      <c r="F77" s="1256"/>
      <c r="G77" s="1256"/>
      <c r="H77" s="1256"/>
      <c r="I77" s="1256"/>
      <c r="J77" s="1256"/>
      <c r="K77" s="1256"/>
      <c r="L77" s="1256"/>
      <c r="M77" s="1256"/>
      <c r="N77" s="1256"/>
      <c r="O77" s="1257"/>
      <c r="P77" s="652"/>
      <c r="Q77" s="758"/>
      <c r="R77" s="652"/>
      <c r="S77" s="1162"/>
      <c r="T77" s="1163"/>
    </row>
    <row r="78" spans="1:20" s="371" customFormat="1" ht="69" customHeight="1">
      <c r="A78" s="387"/>
      <c r="B78" s="114"/>
      <c r="C78" s="113">
        <v>2</v>
      </c>
      <c r="D78" s="374"/>
      <c r="E78" s="373" t="s">
        <v>198</v>
      </c>
      <c r="F78" s="491"/>
      <c r="G78" s="110"/>
      <c r="H78" s="110"/>
      <c r="I78" s="110"/>
      <c r="J78" s="110"/>
      <c r="K78" s="451">
        <v>148830</v>
      </c>
      <c r="L78" s="451">
        <f t="shared" si="6"/>
        <v>148830</v>
      </c>
      <c r="M78" s="451">
        <v>148830</v>
      </c>
      <c r="N78" s="451">
        <v>60402</v>
      </c>
      <c r="O78" s="837">
        <f>N78/M78</f>
        <v>0.40584559564603911</v>
      </c>
      <c r="P78" s="770" t="s">
        <v>395</v>
      </c>
      <c r="Q78" s="654"/>
    </row>
    <row r="79" spans="1:20" s="762" customFormat="1" ht="96.75" customHeight="1">
      <c r="A79" s="1144"/>
      <c r="B79" s="1093"/>
      <c r="C79" s="1161"/>
      <c r="D79" s="538"/>
      <c r="E79" s="1256" t="s">
        <v>734</v>
      </c>
      <c r="F79" s="1256"/>
      <c r="G79" s="1256"/>
      <c r="H79" s="1256"/>
      <c r="I79" s="1256"/>
      <c r="J79" s="1256"/>
      <c r="K79" s="1256"/>
      <c r="L79" s="1256"/>
      <c r="M79" s="1256"/>
      <c r="N79" s="1256"/>
      <c r="O79" s="1257"/>
      <c r="P79" s="652"/>
      <c r="Q79" s="758"/>
      <c r="R79" s="652"/>
      <c r="S79" s="1162"/>
      <c r="T79" s="1163"/>
    </row>
    <row r="80" spans="1:20" s="371" customFormat="1" ht="88.5" customHeight="1">
      <c r="A80" s="387"/>
      <c r="B80" s="114"/>
      <c r="C80" s="113">
        <v>3</v>
      </c>
      <c r="D80" s="374"/>
      <c r="E80" s="372" t="s">
        <v>160</v>
      </c>
      <c r="F80" s="491"/>
      <c r="G80" s="110"/>
      <c r="H80" s="110"/>
      <c r="I80" s="110"/>
      <c r="J80" s="110"/>
      <c r="K80" s="451">
        <v>5000</v>
      </c>
      <c r="L80" s="451">
        <f t="shared" si="6"/>
        <v>5000</v>
      </c>
      <c r="M80" s="451">
        <v>5000</v>
      </c>
      <c r="N80" s="451">
        <v>2495.73</v>
      </c>
      <c r="O80" s="837">
        <f>N80/M80</f>
        <v>0.49914599999999998</v>
      </c>
      <c r="P80" s="770" t="s">
        <v>395</v>
      </c>
      <c r="Q80" s="654"/>
    </row>
    <row r="81" spans="1:20" s="762" customFormat="1" ht="72" customHeight="1">
      <c r="A81" s="1144"/>
      <c r="B81" s="1093"/>
      <c r="C81" s="1161"/>
      <c r="D81" s="538"/>
      <c r="E81" s="1256" t="s">
        <v>698</v>
      </c>
      <c r="F81" s="1256"/>
      <c r="G81" s="1256"/>
      <c r="H81" s="1256"/>
      <c r="I81" s="1256"/>
      <c r="J81" s="1256"/>
      <c r="K81" s="1256"/>
      <c r="L81" s="1256"/>
      <c r="M81" s="1256"/>
      <c r="N81" s="1256"/>
      <c r="O81" s="1257"/>
      <c r="P81" s="652"/>
      <c r="Q81" s="758"/>
      <c r="R81" s="652"/>
      <c r="S81" s="1162"/>
      <c r="T81" s="1163"/>
    </row>
    <row r="82" spans="1:20" s="371" customFormat="1" ht="55.5" customHeight="1">
      <c r="A82" s="387"/>
      <c r="B82" s="393"/>
      <c r="C82" s="384">
        <v>4</v>
      </c>
      <c r="D82" s="374"/>
      <c r="E82" s="372" t="s">
        <v>149</v>
      </c>
      <c r="F82" s="491"/>
      <c r="G82" s="110"/>
      <c r="H82" s="110"/>
      <c r="I82" s="110"/>
      <c r="J82" s="110"/>
      <c r="K82" s="451">
        <v>12000</v>
      </c>
      <c r="L82" s="451">
        <f t="shared" si="6"/>
        <v>12000</v>
      </c>
      <c r="M82" s="451">
        <v>4860</v>
      </c>
      <c r="N82" s="451">
        <v>4860</v>
      </c>
      <c r="O82" s="837">
        <v>0</v>
      </c>
      <c r="P82" s="770" t="s">
        <v>395</v>
      </c>
      <c r="Q82" s="654"/>
    </row>
    <row r="83" spans="1:20" s="762" customFormat="1" ht="89.4" customHeight="1">
      <c r="A83" s="1144"/>
      <c r="B83" s="1093"/>
      <c r="C83" s="1161"/>
      <c r="D83" s="538"/>
      <c r="E83" s="1256" t="s">
        <v>735</v>
      </c>
      <c r="F83" s="1256"/>
      <c r="G83" s="1256"/>
      <c r="H83" s="1256"/>
      <c r="I83" s="1256"/>
      <c r="J83" s="1256"/>
      <c r="K83" s="1256"/>
      <c r="L83" s="1256"/>
      <c r="M83" s="1256"/>
      <c r="N83" s="1256"/>
      <c r="O83" s="1257"/>
      <c r="P83" s="652"/>
      <c r="Q83" s="758"/>
      <c r="R83" s="652"/>
      <c r="S83" s="1162"/>
      <c r="T83" s="1163"/>
    </row>
    <row r="84" spans="1:20" s="371" customFormat="1" ht="53.25" customHeight="1">
      <c r="A84" s="387"/>
      <c r="B84" s="393"/>
      <c r="C84" s="384">
        <v>5</v>
      </c>
      <c r="D84" s="374"/>
      <c r="E84" s="372" t="s">
        <v>250</v>
      </c>
      <c r="F84" s="491"/>
      <c r="G84" s="110"/>
      <c r="H84" s="110"/>
      <c r="I84" s="110"/>
      <c r="J84" s="110"/>
      <c r="K84" s="451">
        <f>7000+12000</f>
        <v>19000</v>
      </c>
      <c r="L84" s="451">
        <f>SUM(F84:K84)</f>
        <v>19000</v>
      </c>
      <c r="M84" s="451">
        <v>14500</v>
      </c>
      <c r="N84" s="451">
        <v>13986</v>
      </c>
      <c r="O84" s="837">
        <f>N84/M84</f>
        <v>0.964551724137931</v>
      </c>
      <c r="P84" s="770" t="s">
        <v>395</v>
      </c>
      <c r="Q84" s="654"/>
    </row>
    <row r="85" spans="1:20" s="762" customFormat="1" ht="93" customHeight="1">
      <c r="A85" s="1144"/>
      <c r="B85" s="1093"/>
      <c r="C85" s="1161"/>
      <c r="D85" s="538"/>
      <c r="E85" s="1256" t="s">
        <v>736</v>
      </c>
      <c r="F85" s="1256"/>
      <c r="G85" s="1256"/>
      <c r="H85" s="1256"/>
      <c r="I85" s="1256"/>
      <c r="J85" s="1256"/>
      <c r="K85" s="1256"/>
      <c r="L85" s="1256"/>
      <c r="M85" s="1256"/>
      <c r="N85" s="1256"/>
      <c r="O85" s="1257"/>
      <c r="P85" s="652"/>
      <c r="Q85" s="758"/>
      <c r="R85" s="652"/>
      <c r="S85" s="1162"/>
      <c r="T85" s="1163"/>
    </row>
    <row r="86" spans="1:20" s="371" customFormat="1" ht="53.25" customHeight="1">
      <c r="A86" s="387"/>
      <c r="B86" s="393"/>
      <c r="C86" s="384">
        <v>6</v>
      </c>
      <c r="D86" s="374"/>
      <c r="E86" s="372" t="s">
        <v>219</v>
      </c>
      <c r="F86" s="491"/>
      <c r="G86" s="110"/>
      <c r="H86" s="110"/>
      <c r="I86" s="110"/>
      <c r="J86" s="110"/>
      <c r="K86" s="451">
        <v>3500</v>
      </c>
      <c r="L86" s="451">
        <f>SUM(F86:K86)</f>
        <v>3500</v>
      </c>
      <c r="M86" s="451">
        <v>6500</v>
      </c>
      <c r="N86" s="451">
        <v>6048</v>
      </c>
      <c r="O86" s="837">
        <f>N86/M86</f>
        <v>0.93046153846153845</v>
      </c>
      <c r="P86" s="770" t="s">
        <v>395</v>
      </c>
      <c r="Q86" s="654"/>
    </row>
    <row r="87" spans="1:20" s="762" customFormat="1" ht="72" customHeight="1">
      <c r="A87" s="1144"/>
      <c r="B87" s="1093"/>
      <c r="C87" s="1161"/>
      <c r="D87" s="538"/>
      <c r="E87" s="1256" t="s">
        <v>737</v>
      </c>
      <c r="F87" s="1256"/>
      <c r="G87" s="1256"/>
      <c r="H87" s="1256"/>
      <c r="I87" s="1256"/>
      <c r="J87" s="1256"/>
      <c r="K87" s="1256"/>
      <c r="L87" s="1256"/>
      <c r="M87" s="1256"/>
      <c r="N87" s="1256"/>
      <c r="O87" s="1257"/>
      <c r="P87" s="652"/>
      <c r="Q87" s="758"/>
      <c r="R87" s="652"/>
      <c r="S87" s="1162"/>
      <c r="T87" s="1163"/>
    </row>
    <row r="88" spans="1:20" s="371" customFormat="1" ht="53.25" customHeight="1">
      <c r="A88" s="387"/>
      <c r="B88" s="393"/>
      <c r="C88" s="384">
        <v>7</v>
      </c>
      <c r="D88" s="374"/>
      <c r="E88" s="372" t="s">
        <v>251</v>
      </c>
      <c r="F88" s="491"/>
      <c r="G88" s="110"/>
      <c r="H88" s="110"/>
      <c r="I88" s="110"/>
      <c r="J88" s="110"/>
      <c r="K88" s="451">
        <v>5000</v>
      </c>
      <c r="L88" s="451">
        <f>SUM(F88:K88)</f>
        <v>5000</v>
      </c>
      <c r="M88" s="451">
        <v>5000</v>
      </c>
      <c r="N88" s="451">
        <v>0</v>
      </c>
      <c r="O88" s="837">
        <v>0</v>
      </c>
      <c r="P88" s="770" t="s">
        <v>395</v>
      </c>
      <c r="Q88" s="654"/>
    </row>
    <row r="89" spans="1:20" s="375" customFormat="1" ht="37.799999999999997">
      <c r="A89" s="391"/>
      <c r="B89" s="392"/>
      <c r="C89" s="23"/>
      <c r="D89" s="459"/>
      <c r="E89" s="376" t="s">
        <v>745</v>
      </c>
      <c r="F89" s="511"/>
      <c r="G89" s="417"/>
      <c r="H89" s="417"/>
      <c r="I89" s="417"/>
      <c r="J89" s="417"/>
      <c r="K89" s="413"/>
      <c r="L89" s="413"/>
      <c r="M89" s="413"/>
      <c r="N89" s="413"/>
      <c r="O89" s="842"/>
      <c r="P89" s="768"/>
      <c r="Q89" s="655"/>
    </row>
    <row r="90" spans="1:20" s="371" customFormat="1" ht="53.25" customHeight="1">
      <c r="A90" s="387"/>
      <c r="B90" s="393"/>
      <c r="C90" s="727">
        <v>8</v>
      </c>
      <c r="D90" s="728"/>
      <c r="E90" s="372" t="s">
        <v>252</v>
      </c>
      <c r="F90" s="491"/>
      <c r="G90" s="110"/>
      <c r="H90" s="110"/>
      <c r="I90" s="110"/>
      <c r="J90" s="110"/>
      <c r="K90" s="451">
        <v>25000</v>
      </c>
      <c r="L90" s="451">
        <f>SUM(F90:K90)</f>
        <v>25000</v>
      </c>
      <c r="M90" s="451">
        <v>25000</v>
      </c>
      <c r="N90" s="451">
        <v>24840</v>
      </c>
      <c r="O90" s="837">
        <f>N90/M90</f>
        <v>0.99360000000000004</v>
      </c>
      <c r="P90" s="770" t="s">
        <v>395</v>
      </c>
      <c r="Q90" s="654"/>
    </row>
    <row r="91" spans="1:20" s="762" customFormat="1" ht="72" customHeight="1">
      <c r="A91" s="1144"/>
      <c r="B91" s="1093"/>
      <c r="C91" s="1161"/>
      <c r="D91" s="538"/>
      <c r="E91" s="1256" t="s">
        <v>746</v>
      </c>
      <c r="F91" s="1256"/>
      <c r="G91" s="1256"/>
      <c r="H91" s="1256"/>
      <c r="I91" s="1256"/>
      <c r="J91" s="1256"/>
      <c r="K91" s="1256"/>
      <c r="L91" s="1256"/>
      <c r="M91" s="1256"/>
      <c r="N91" s="1256"/>
      <c r="O91" s="1257"/>
      <c r="P91" s="652"/>
      <c r="Q91" s="758"/>
      <c r="R91" s="652"/>
      <c r="S91" s="1162"/>
      <c r="T91" s="1163"/>
    </row>
    <row r="92" spans="1:20" s="314" customFormat="1" ht="70.5" customHeight="1">
      <c r="A92" s="1153"/>
      <c r="B92" s="1143"/>
      <c r="C92" s="1210">
        <v>9</v>
      </c>
      <c r="D92" s="725"/>
      <c r="E92" s="600" t="s">
        <v>199</v>
      </c>
      <c r="F92" s="565"/>
      <c r="G92" s="564"/>
      <c r="H92" s="564"/>
      <c r="I92" s="564"/>
      <c r="J92" s="564"/>
      <c r="K92" s="564">
        <v>100000</v>
      </c>
      <c r="L92" s="564">
        <f t="shared" ref="L92:L113" si="8">SUM(F92:K92)</f>
        <v>100000</v>
      </c>
      <c r="M92" s="564">
        <v>100000</v>
      </c>
      <c r="N92" s="564">
        <v>0</v>
      </c>
      <c r="O92" s="763">
        <v>0</v>
      </c>
      <c r="P92" s="766" t="s">
        <v>395</v>
      </c>
      <c r="Q92" s="649"/>
    </row>
    <row r="93" spans="1:20" s="231" customFormat="1" ht="49.95" customHeight="1">
      <c r="A93" s="1142"/>
      <c r="B93" s="1143"/>
      <c r="C93" s="116"/>
      <c r="D93" s="1207"/>
      <c r="E93" s="1248" t="s">
        <v>743</v>
      </c>
      <c r="F93" s="1248"/>
      <c r="G93" s="1248"/>
      <c r="H93" s="1248"/>
      <c r="I93" s="1248"/>
      <c r="J93" s="1248"/>
      <c r="K93" s="1248"/>
      <c r="L93" s="1248"/>
      <c r="M93" s="1248"/>
      <c r="N93" s="1248"/>
      <c r="O93" s="1249"/>
      <c r="P93" s="766"/>
      <c r="Q93" s="649"/>
    </row>
    <row r="94" spans="1:20" s="64" customFormat="1" ht="95.25" customHeight="1">
      <c r="A94" s="685"/>
      <c r="B94" s="696"/>
      <c r="C94" s="724">
        <v>10</v>
      </c>
      <c r="D94" s="725"/>
      <c r="E94" s="600" t="s">
        <v>336</v>
      </c>
      <c r="F94" s="565"/>
      <c r="G94" s="565"/>
      <c r="H94" s="565"/>
      <c r="I94" s="565"/>
      <c r="J94" s="565"/>
      <c r="K94" s="565">
        <v>25000</v>
      </c>
      <c r="L94" s="564">
        <f t="shared" si="8"/>
        <v>25000</v>
      </c>
      <c r="M94" s="564">
        <v>25000</v>
      </c>
      <c r="N94" s="564">
        <v>0</v>
      </c>
      <c r="O94" s="763">
        <v>0</v>
      </c>
      <c r="P94" s="764" t="s">
        <v>395</v>
      </c>
      <c r="Q94" s="650"/>
    </row>
    <row r="95" spans="1:20" s="911" customFormat="1" ht="45.6" customHeight="1">
      <c r="A95" s="1144"/>
      <c r="B95" s="1093"/>
      <c r="C95" s="1151"/>
      <c r="D95" s="1152"/>
      <c r="E95" s="1250" t="s">
        <v>747</v>
      </c>
      <c r="F95" s="1250"/>
      <c r="G95" s="1250"/>
      <c r="H95" s="1250"/>
      <c r="I95" s="1250"/>
      <c r="J95" s="1250"/>
      <c r="K95" s="1250"/>
      <c r="L95" s="1250"/>
      <c r="M95" s="1250"/>
      <c r="N95" s="1250"/>
      <c r="O95" s="1251"/>
      <c r="P95" s="1145"/>
      <c r="Q95" s="910"/>
      <c r="R95" s="1146"/>
    </row>
    <row r="96" spans="1:20" s="371" customFormat="1" ht="53.25" customHeight="1">
      <c r="A96" s="387"/>
      <c r="B96" s="393"/>
      <c r="C96" s="593">
        <v>11</v>
      </c>
      <c r="D96" s="805"/>
      <c r="E96" s="806" t="s">
        <v>371</v>
      </c>
      <c r="F96" s="807"/>
      <c r="G96" s="808"/>
      <c r="H96" s="808"/>
      <c r="I96" s="808"/>
      <c r="J96" s="808"/>
      <c r="K96" s="564">
        <v>5000</v>
      </c>
      <c r="L96" s="564">
        <v>0</v>
      </c>
      <c r="M96" s="564">
        <v>3500</v>
      </c>
      <c r="N96" s="564">
        <v>3132</v>
      </c>
      <c r="O96" s="763">
        <f>N96/M96</f>
        <v>0.89485714285714291</v>
      </c>
      <c r="P96" s="770" t="s">
        <v>395</v>
      </c>
      <c r="Q96" s="654"/>
    </row>
    <row r="97" spans="1:244" s="762" customFormat="1" ht="93" customHeight="1">
      <c r="A97" s="1144"/>
      <c r="B97" s="1093"/>
      <c r="C97" s="1161"/>
      <c r="D97" s="538"/>
      <c r="E97" s="1256" t="s">
        <v>738</v>
      </c>
      <c r="F97" s="1256"/>
      <c r="G97" s="1256"/>
      <c r="H97" s="1256"/>
      <c r="I97" s="1256"/>
      <c r="J97" s="1256"/>
      <c r="K97" s="1256"/>
      <c r="L97" s="1256"/>
      <c r="M97" s="1256"/>
      <c r="N97" s="1256"/>
      <c r="O97" s="1257"/>
      <c r="P97" s="652"/>
      <c r="Q97" s="758"/>
      <c r="R97" s="652"/>
      <c r="S97" s="1162"/>
      <c r="T97" s="1163"/>
    </row>
    <row r="98" spans="1:244" s="64" customFormat="1" ht="87" customHeight="1">
      <c r="A98" s="1153"/>
      <c r="B98" s="1154"/>
      <c r="C98" s="593">
        <v>12</v>
      </c>
      <c r="D98" s="602"/>
      <c r="E98" s="1147" t="s">
        <v>372</v>
      </c>
      <c r="F98" s="588"/>
      <c r="G98" s="595"/>
      <c r="H98" s="595"/>
      <c r="I98" s="595"/>
      <c r="J98" s="595"/>
      <c r="K98" s="564">
        <v>12000</v>
      </c>
      <c r="L98" s="564">
        <v>0</v>
      </c>
      <c r="M98" s="564">
        <v>16000</v>
      </c>
      <c r="N98" s="564">
        <v>4920</v>
      </c>
      <c r="O98" s="763">
        <f>N98/M98</f>
        <v>0.3075</v>
      </c>
      <c r="P98" s="764" t="s">
        <v>395</v>
      </c>
      <c r="Q98" s="650"/>
    </row>
    <row r="99" spans="1:244" s="911" customFormat="1" ht="84" customHeight="1">
      <c r="A99" s="1144"/>
      <c r="B99" s="1093"/>
      <c r="C99" s="1161"/>
      <c r="D99" s="538"/>
      <c r="E99" s="1256" t="s">
        <v>739</v>
      </c>
      <c r="F99" s="1256"/>
      <c r="G99" s="1256"/>
      <c r="H99" s="1256"/>
      <c r="I99" s="1256"/>
      <c r="J99" s="1256"/>
      <c r="K99" s="1256"/>
      <c r="L99" s="1256"/>
      <c r="M99" s="1256"/>
      <c r="N99" s="1256"/>
      <c r="O99" s="1257"/>
      <c r="P99" s="655"/>
      <c r="Q99" s="910"/>
      <c r="R99" s="655"/>
      <c r="S99" s="1162"/>
      <c r="T99" s="1163"/>
    </row>
    <row r="100" spans="1:244" s="369" customFormat="1" ht="60" customHeight="1">
      <c r="A100" s="573"/>
      <c r="B100" s="75">
        <v>70095</v>
      </c>
      <c r="C100" s="74"/>
      <c r="D100" s="73"/>
      <c r="E100" s="72" t="s">
        <v>5</v>
      </c>
      <c r="F100" s="409">
        <f t="shared" ref="F100:J100" si="9">SUM(F101:F104)</f>
        <v>0</v>
      </c>
      <c r="G100" s="409">
        <f t="shared" si="9"/>
        <v>0</v>
      </c>
      <c r="H100" s="409">
        <f t="shared" si="9"/>
        <v>0</v>
      </c>
      <c r="I100" s="409">
        <f t="shared" si="9"/>
        <v>0</v>
      </c>
      <c r="J100" s="409">
        <f t="shared" si="9"/>
        <v>0</v>
      </c>
      <c r="K100" s="409">
        <f>SUM(K101:K104)</f>
        <v>1365370</v>
      </c>
      <c r="L100" s="92">
        <f t="shared" si="8"/>
        <v>1365370</v>
      </c>
      <c r="M100" s="92">
        <f>M101+M103+M104</f>
        <v>354967</v>
      </c>
      <c r="N100" s="92">
        <f>N101+N103+N104</f>
        <v>29</v>
      </c>
      <c r="O100" s="755">
        <f>N100/M100</f>
        <v>8.1697735282434711E-5</v>
      </c>
      <c r="P100" s="766" t="s">
        <v>395</v>
      </c>
      <c r="Q100" s="649"/>
      <c r="R100" s="94"/>
      <c r="S100" s="94"/>
      <c r="T100" s="94"/>
      <c r="U100" s="94"/>
      <c r="V100" s="94"/>
      <c r="W100" s="94"/>
      <c r="X100" s="94"/>
      <c r="Y100" s="94"/>
      <c r="Z100" s="94"/>
      <c r="AA100" s="94"/>
      <c r="AB100" s="94"/>
      <c r="AC100" s="94"/>
      <c r="AD100" s="94"/>
      <c r="AE100" s="94"/>
      <c r="AF100" s="94"/>
      <c r="AG100" s="94"/>
      <c r="AH100" s="94"/>
      <c r="AI100" s="94"/>
      <c r="AJ100" s="94"/>
      <c r="AK100" s="94"/>
      <c r="AL100" s="94"/>
      <c r="AM100" s="94"/>
      <c r="AN100" s="94"/>
      <c r="AO100" s="94"/>
      <c r="AP100" s="94"/>
      <c r="AQ100" s="94"/>
      <c r="AR100" s="94"/>
      <c r="AS100" s="94"/>
      <c r="AT100" s="94"/>
      <c r="AU100" s="94"/>
      <c r="AV100" s="94"/>
      <c r="AW100" s="94"/>
      <c r="AX100" s="94"/>
      <c r="AY100" s="94"/>
      <c r="AZ100" s="94"/>
      <c r="BA100" s="94"/>
      <c r="BB100" s="94"/>
      <c r="BC100" s="94"/>
      <c r="BD100" s="94"/>
      <c r="BE100" s="94"/>
      <c r="BF100" s="94"/>
      <c r="BG100" s="94"/>
      <c r="BH100" s="94"/>
      <c r="BI100" s="94"/>
      <c r="BJ100" s="94"/>
      <c r="BK100" s="94"/>
      <c r="BL100" s="94"/>
      <c r="BM100" s="94"/>
      <c r="BN100" s="94"/>
      <c r="BO100" s="94"/>
      <c r="BP100" s="94"/>
      <c r="BQ100" s="94"/>
      <c r="BR100" s="94"/>
      <c r="BS100" s="94"/>
      <c r="BT100" s="94"/>
      <c r="BU100" s="94"/>
      <c r="BV100" s="94"/>
      <c r="BW100" s="94"/>
      <c r="BX100" s="94"/>
      <c r="BY100" s="94"/>
      <c r="BZ100" s="94"/>
      <c r="CA100" s="94"/>
      <c r="CB100" s="94"/>
      <c r="CC100" s="94"/>
      <c r="CD100" s="94"/>
      <c r="CE100" s="94"/>
      <c r="CF100" s="94"/>
      <c r="CG100" s="94"/>
      <c r="CH100" s="94"/>
      <c r="CI100" s="94"/>
      <c r="CJ100" s="94"/>
      <c r="CK100" s="94"/>
      <c r="CL100" s="94"/>
      <c r="CM100" s="94"/>
      <c r="CN100" s="94"/>
      <c r="CO100" s="94"/>
      <c r="CP100" s="94"/>
      <c r="CQ100" s="94"/>
      <c r="CR100" s="94"/>
      <c r="CS100" s="94"/>
      <c r="CT100" s="94"/>
      <c r="CU100" s="94"/>
      <c r="CV100" s="94"/>
      <c r="CW100" s="94"/>
      <c r="CX100" s="94"/>
      <c r="CY100" s="94"/>
      <c r="CZ100" s="94"/>
      <c r="DA100" s="94"/>
      <c r="DB100" s="94"/>
      <c r="DC100" s="94"/>
      <c r="DD100" s="94"/>
      <c r="DE100" s="94"/>
      <c r="DF100" s="94"/>
      <c r="DG100" s="94"/>
      <c r="DH100" s="94"/>
      <c r="DI100" s="94"/>
      <c r="DJ100" s="94"/>
      <c r="DK100" s="94"/>
      <c r="DL100" s="94"/>
      <c r="DM100" s="94"/>
      <c r="DN100" s="94"/>
      <c r="DO100" s="94"/>
      <c r="DP100" s="94"/>
      <c r="DQ100" s="94"/>
      <c r="DR100" s="94"/>
      <c r="DS100" s="94"/>
      <c r="DT100" s="94"/>
      <c r="DU100" s="94"/>
      <c r="DV100" s="94"/>
      <c r="DW100" s="94"/>
      <c r="DX100" s="94"/>
      <c r="DY100" s="94"/>
      <c r="DZ100" s="94"/>
      <c r="EA100" s="94"/>
      <c r="EB100" s="94"/>
      <c r="EC100" s="94"/>
      <c r="ED100" s="94"/>
      <c r="EE100" s="94"/>
      <c r="EF100" s="94"/>
      <c r="EG100" s="94"/>
      <c r="EH100" s="94"/>
      <c r="EI100" s="94"/>
      <c r="EJ100" s="94"/>
      <c r="EK100" s="94"/>
      <c r="EL100" s="94"/>
      <c r="EM100" s="94"/>
      <c r="EN100" s="94"/>
      <c r="EO100" s="94"/>
      <c r="EP100" s="94"/>
      <c r="EQ100" s="94"/>
      <c r="ER100" s="94"/>
      <c r="ES100" s="94"/>
      <c r="ET100" s="94"/>
      <c r="EU100" s="94"/>
      <c r="EV100" s="94"/>
      <c r="EW100" s="94"/>
      <c r="EX100" s="94"/>
      <c r="EY100" s="94"/>
      <c r="EZ100" s="94"/>
      <c r="FA100" s="94"/>
      <c r="FB100" s="94"/>
      <c r="FC100" s="94"/>
      <c r="FD100" s="94"/>
      <c r="FE100" s="94"/>
      <c r="FF100" s="94"/>
      <c r="FG100" s="94"/>
      <c r="FH100" s="94"/>
      <c r="FI100" s="94"/>
      <c r="FJ100" s="94"/>
      <c r="FK100" s="94"/>
      <c r="FL100" s="94"/>
      <c r="FM100" s="94"/>
      <c r="FN100" s="94"/>
      <c r="FO100" s="94"/>
      <c r="FP100" s="94"/>
      <c r="FQ100" s="94"/>
      <c r="FR100" s="94"/>
      <c r="FS100" s="94"/>
      <c r="FT100" s="94"/>
      <c r="FU100" s="94"/>
      <c r="FV100" s="94"/>
      <c r="FW100" s="94"/>
      <c r="FX100" s="94"/>
      <c r="FY100" s="94"/>
      <c r="FZ100" s="94"/>
      <c r="GA100" s="94"/>
      <c r="GB100" s="94"/>
      <c r="GC100" s="94"/>
      <c r="GD100" s="94"/>
      <c r="GE100" s="94"/>
      <c r="GF100" s="94"/>
      <c r="GG100" s="94"/>
      <c r="GH100" s="94"/>
      <c r="GI100" s="94"/>
      <c r="GJ100" s="94"/>
      <c r="GK100" s="94"/>
      <c r="GL100" s="94"/>
      <c r="GM100" s="94"/>
      <c r="GN100" s="94"/>
      <c r="GO100" s="94"/>
      <c r="GP100" s="94"/>
      <c r="GQ100" s="94"/>
      <c r="GR100" s="94"/>
      <c r="GS100" s="94"/>
      <c r="GT100" s="94"/>
      <c r="GU100" s="94"/>
      <c r="GV100" s="94"/>
      <c r="GW100" s="94"/>
      <c r="GX100" s="94"/>
      <c r="GY100" s="94"/>
      <c r="GZ100" s="94"/>
      <c r="HA100" s="94"/>
      <c r="HB100" s="94"/>
      <c r="HC100" s="94"/>
      <c r="HD100" s="94"/>
      <c r="HE100" s="94"/>
      <c r="HF100" s="94"/>
      <c r="HG100" s="94"/>
      <c r="HH100" s="94"/>
      <c r="HI100" s="94"/>
      <c r="HJ100" s="94"/>
      <c r="HK100" s="94"/>
      <c r="HL100" s="94"/>
      <c r="HM100" s="94"/>
      <c r="HN100" s="94"/>
      <c r="HO100" s="94"/>
      <c r="HP100" s="94"/>
      <c r="HQ100" s="94"/>
      <c r="HR100" s="94"/>
      <c r="HS100" s="94"/>
      <c r="HT100" s="94"/>
      <c r="HU100" s="94"/>
      <c r="HV100" s="94"/>
      <c r="HW100" s="94"/>
      <c r="HX100" s="94"/>
      <c r="HY100" s="94"/>
      <c r="HZ100" s="94"/>
      <c r="IA100" s="94"/>
      <c r="IB100" s="94"/>
      <c r="IC100" s="94"/>
      <c r="ID100" s="94"/>
      <c r="IE100" s="94"/>
      <c r="IF100" s="94"/>
      <c r="IG100" s="94"/>
      <c r="IH100" s="94"/>
      <c r="II100" s="94"/>
      <c r="IJ100" s="370"/>
    </row>
    <row r="101" spans="1:244" s="64" customFormat="1" ht="73.5" customHeight="1">
      <c r="A101" s="1153"/>
      <c r="B101" s="1154"/>
      <c r="C101" s="630">
        <v>1</v>
      </c>
      <c r="D101" s="631"/>
      <c r="E101" s="1147" t="s">
        <v>288</v>
      </c>
      <c r="F101" s="588"/>
      <c r="G101" s="595"/>
      <c r="H101" s="595"/>
      <c r="I101" s="595"/>
      <c r="J101" s="595"/>
      <c r="K101" s="564">
        <v>1253370</v>
      </c>
      <c r="L101" s="564">
        <f t="shared" si="8"/>
        <v>1253370</v>
      </c>
      <c r="M101" s="564">
        <v>246000</v>
      </c>
      <c r="N101" s="564">
        <v>0</v>
      </c>
      <c r="O101" s="763">
        <v>0</v>
      </c>
      <c r="P101" s="764" t="s">
        <v>395</v>
      </c>
      <c r="Q101" s="650"/>
    </row>
    <row r="102" spans="1:244" s="911" customFormat="1" ht="64.2" customHeight="1">
      <c r="A102" s="1144"/>
      <c r="B102" s="1093"/>
      <c r="C102" s="1151"/>
      <c r="D102" s="1152"/>
      <c r="E102" s="1250" t="s">
        <v>740</v>
      </c>
      <c r="F102" s="1250"/>
      <c r="G102" s="1250"/>
      <c r="H102" s="1250"/>
      <c r="I102" s="1250"/>
      <c r="J102" s="1250"/>
      <c r="K102" s="1250"/>
      <c r="L102" s="1250"/>
      <c r="M102" s="1250"/>
      <c r="N102" s="1250"/>
      <c r="O102" s="1251"/>
      <c r="P102" s="1145"/>
      <c r="Q102" s="910"/>
      <c r="R102" s="1146"/>
    </row>
    <row r="103" spans="1:244" s="64" customFormat="1" ht="73.5" customHeight="1">
      <c r="A103" s="388"/>
      <c r="B103" s="389"/>
      <c r="C103" s="580">
        <v>2</v>
      </c>
      <c r="D103" s="590"/>
      <c r="E103" s="601" t="s">
        <v>200</v>
      </c>
      <c r="F103" s="591"/>
      <c r="G103" s="592"/>
      <c r="H103" s="592"/>
      <c r="I103" s="592"/>
      <c r="J103" s="592"/>
      <c r="K103" s="567">
        <v>12000</v>
      </c>
      <c r="L103" s="84">
        <f t="shared" si="8"/>
        <v>12000</v>
      </c>
      <c r="M103" s="84">
        <f>8967</f>
        <v>8967</v>
      </c>
      <c r="N103" s="84">
        <v>29</v>
      </c>
      <c r="O103" s="838">
        <f>N103/M103</f>
        <v>3.2340805174528829E-3</v>
      </c>
      <c r="P103" s="764" t="s">
        <v>395</v>
      </c>
      <c r="Q103" s="650"/>
    </row>
    <row r="104" spans="1:244" s="314" customFormat="1" ht="73.5" customHeight="1">
      <c r="A104" s="1153"/>
      <c r="B104" s="1154"/>
      <c r="C104" s="593">
        <v>3</v>
      </c>
      <c r="D104" s="602"/>
      <c r="E104" s="1147" t="s">
        <v>201</v>
      </c>
      <c r="F104" s="588"/>
      <c r="G104" s="595"/>
      <c r="H104" s="595"/>
      <c r="I104" s="595"/>
      <c r="J104" s="595"/>
      <c r="K104" s="564">
        <v>100000</v>
      </c>
      <c r="L104" s="564">
        <f t="shared" si="8"/>
        <v>100000</v>
      </c>
      <c r="M104" s="564">
        <v>100000</v>
      </c>
      <c r="N104" s="564">
        <v>0</v>
      </c>
      <c r="O104" s="763">
        <v>0</v>
      </c>
      <c r="P104" s="766" t="s">
        <v>395</v>
      </c>
      <c r="Q104" s="649"/>
    </row>
    <row r="105" spans="1:244" s="64" customFormat="1" ht="53.4" customHeight="1">
      <c r="A105" s="1153"/>
      <c r="B105" s="1154"/>
      <c r="C105" s="23"/>
      <c r="D105" s="130"/>
      <c r="E105" s="1250" t="s">
        <v>741</v>
      </c>
      <c r="F105" s="1250"/>
      <c r="G105" s="1250"/>
      <c r="H105" s="1250"/>
      <c r="I105" s="1250"/>
      <c r="J105" s="1250"/>
      <c r="K105" s="1250"/>
      <c r="L105" s="1250"/>
      <c r="M105" s="1250"/>
      <c r="N105" s="1250"/>
      <c r="O105" s="1251"/>
      <c r="P105" s="764"/>
      <c r="Q105" s="650"/>
    </row>
    <row r="106" spans="1:244" s="76" customFormat="1" ht="61.5" customHeight="1">
      <c r="A106" s="83">
        <v>4</v>
      </c>
      <c r="B106" s="82">
        <v>710</v>
      </c>
      <c r="C106" s="81"/>
      <c r="D106" s="80"/>
      <c r="E106" s="79" t="s">
        <v>129</v>
      </c>
      <c r="F106" s="78">
        <f t="shared" ref="F106:K106" si="10">F107+F115+F112</f>
        <v>0</v>
      </c>
      <c r="G106" s="78">
        <f t="shared" si="10"/>
        <v>0</v>
      </c>
      <c r="H106" s="78">
        <f t="shared" si="10"/>
        <v>0</v>
      </c>
      <c r="I106" s="78">
        <f t="shared" si="10"/>
        <v>0</v>
      </c>
      <c r="J106" s="78">
        <f t="shared" si="10"/>
        <v>0</v>
      </c>
      <c r="K106" s="78">
        <f t="shared" si="10"/>
        <v>380505</v>
      </c>
      <c r="L106" s="77">
        <f t="shared" si="8"/>
        <v>380505</v>
      </c>
      <c r="M106" s="77">
        <f>M107+M112+M115</f>
        <v>380505</v>
      </c>
      <c r="N106" s="77">
        <f>N107+N112+N115</f>
        <v>67391.16</v>
      </c>
      <c r="O106" s="834">
        <f>N106/M106</f>
        <v>0.17710978830764379</v>
      </c>
      <c r="P106" s="764" t="s">
        <v>395</v>
      </c>
      <c r="Q106" s="650"/>
    </row>
    <row r="107" spans="1:244" s="64" customFormat="1" ht="61.5" customHeight="1">
      <c r="A107" s="368"/>
      <c r="B107" s="75">
        <v>71004</v>
      </c>
      <c r="C107" s="74"/>
      <c r="D107" s="73"/>
      <c r="E107" s="72" t="s">
        <v>128</v>
      </c>
      <c r="F107" s="409">
        <f t="shared" ref="F107:K107" si="11">SUM(F108:F110)</f>
        <v>0</v>
      </c>
      <c r="G107" s="409">
        <f t="shared" si="11"/>
        <v>0</v>
      </c>
      <c r="H107" s="409">
        <f t="shared" si="11"/>
        <v>0</v>
      </c>
      <c r="I107" s="409">
        <f t="shared" si="11"/>
        <v>0</v>
      </c>
      <c r="J107" s="409">
        <f t="shared" si="11"/>
        <v>0</v>
      </c>
      <c r="K107" s="409">
        <f t="shared" si="11"/>
        <v>23505</v>
      </c>
      <c r="L107" s="92">
        <f t="shared" si="8"/>
        <v>23505</v>
      </c>
      <c r="M107" s="92">
        <f>SUM(M108:M110)</f>
        <v>23505</v>
      </c>
      <c r="N107" s="92">
        <f>N108+N110</f>
        <v>1000</v>
      </c>
      <c r="O107" s="755">
        <f>N107/M107</f>
        <v>4.2544139544777704E-2</v>
      </c>
      <c r="P107" s="764" t="s">
        <v>395</v>
      </c>
      <c r="Q107" s="650"/>
    </row>
    <row r="108" spans="1:244" s="314" customFormat="1" ht="91.5" customHeight="1">
      <c r="A108" s="1153"/>
      <c r="B108" s="1154"/>
      <c r="C108" s="593">
        <v>1</v>
      </c>
      <c r="D108" s="602"/>
      <c r="E108" s="1147" t="s">
        <v>246</v>
      </c>
      <c r="F108" s="588"/>
      <c r="G108" s="595"/>
      <c r="H108" s="595"/>
      <c r="I108" s="595"/>
      <c r="J108" s="595"/>
      <c r="K108" s="564">
        <v>21505</v>
      </c>
      <c r="L108" s="564">
        <f t="shared" si="8"/>
        <v>21505</v>
      </c>
      <c r="M108" s="564">
        <v>21505</v>
      </c>
      <c r="N108" s="564">
        <v>0</v>
      </c>
      <c r="O108" s="763">
        <v>0</v>
      </c>
      <c r="P108" s="766" t="s">
        <v>395</v>
      </c>
      <c r="Q108" s="649"/>
    </row>
    <row r="109" spans="1:244" s="911" customFormat="1" ht="40.799999999999997" customHeight="1">
      <c r="A109" s="1144"/>
      <c r="B109" s="1093"/>
      <c r="C109" s="1151"/>
      <c r="D109" s="1152"/>
      <c r="E109" s="1250" t="s">
        <v>742</v>
      </c>
      <c r="F109" s="1250"/>
      <c r="G109" s="1250"/>
      <c r="H109" s="1250"/>
      <c r="I109" s="1250"/>
      <c r="J109" s="1250"/>
      <c r="K109" s="1250"/>
      <c r="L109" s="1250"/>
      <c r="M109" s="1250"/>
      <c r="N109" s="1250"/>
      <c r="O109" s="1251"/>
      <c r="P109" s="1145"/>
      <c r="Q109" s="910"/>
      <c r="R109" s="1146"/>
    </row>
    <row r="110" spans="1:244" s="64" customFormat="1" ht="76.5" customHeight="1">
      <c r="A110" s="388"/>
      <c r="B110" s="125"/>
      <c r="C110" s="384">
        <v>2</v>
      </c>
      <c r="D110" s="132"/>
      <c r="E110" s="367" t="s">
        <v>161</v>
      </c>
      <c r="F110" s="124"/>
      <c r="G110" s="366"/>
      <c r="H110" s="366"/>
      <c r="I110" s="366"/>
      <c r="J110" s="366"/>
      <c r="K110" s="451">
        <v>2000</v>
      </c>
      <c r="L110" s="451">
        <f t="shared" si="8"/>
        <v>2000</v>
      </c>
      <c r="M110" s="451">
        <v>2000</v>
      </c>
      <c r="N110" s="451">
        <v>1000</v>
      </c>
      <c r="O110" s="837">
        <f>N110/M110</f>
        <v>0.5</v>
      </c>
      <c r="P110" s="764" t="s">
        <v>395</v>
      </c>
      <c r="Q110" s="650"/>
    </row>
    <row r="111" spans="1:244" s="911" customFormat="1" ht="116.25" customHeight="1">
      <c r="A111" s="1144"/>
      <c r="B111" s="1093"/>
      <c r="C111" s="1161"/>
      <c r="D111" s="538"/>
      <c r="E111" s="1256" t="s">
        <v>748</v>
      </c>
      <c r="F111" s="1256"/>
      <c r="G111" s="1256"/>
      <c r="H111" s="1256"/>
      <c r="I111" s="1256"/>
      <c r="J111" s="1256"/>
      <c r="K111" s="1256"/>
      <c r="L111" s="1256"/>
      <c r="M111" s="1256"/>
      <c r="N111" s="1256"/>
      <c r="O111" s="1257"/>
      <c r="P111" s="655"/>
      <c r="Q111" s="910"/>
      <c r="R111" s="655"/>
      <c r="S111" s="1162"/>
      <c r="T111" s="1163"/>
    </row>
    <row r="112" spans="1:244" s="76" customFormat="1" ht="60" customHeight="1">
      <c r="A112" s="573"/>
      <c r="B112" s="75">
        <v>71035</v>
      </c>
      <c r="C112" s="74"/>
      <c r="D112" s="73"/>
      <c r="E112" s="72" t="s">
        <v>127</v>
      </c>
      <c r="F112" s="409">
        <f>SUM(F113:F113)</f>
        <v>0</v>
      </c>
      <c r="G112" s="409">
        <f>SUM(G113:G113)</f>
        <v>0</v>
      </c>
      <c r="H112" s="409">
        <f>SUM(H113:H113)</f>
        <v>0</v>
      </c>
      <c r="I112" s="409">
        <f>SUM(I113:I113)</f>
        <v>0</v>
      </c>
      <c r="J112" s="409">
        <f>SUM(J113:J113)</f>
        <v>0</v>
      </c>
      <c r="K112" s="409">
        <f>K113</f>
        <v>230000</v>
      </c>
      <c r="L112" s="92">
        <f t="shared" si="8"/>
        <v>230000</v>
      </c>
      <c r="M112" s="92">
        <f>M113</f>
        <v>230000</v>
      </c>
      <c r="N112" s="92">
        <f>N113</f>
        <v>38413.769999999997</v>
      </c>
      <c r="O112" s="755">
        <f>N112/M112</f>
        <v>0.16701639130434781</v>
      </c>
      <c r="P112" s="764" t="s">
        <v>395</v>
      </c>
      <c r="Q112" s="650"/>
    </row>
    <row r="113" spans="1:20" s="76" customFormat="1" ht="56.25" customHeight="1">
      <c r="A113" s="555"/>
      <c r="B113" s="173"/>
      <c r="C113" s="98">
        <v>1</v>
      </c>
      <c r="D113" s="97"/>
      <c r="E113" s="118" t="s">
        <v>174</v>
      </c>
      <c r="F113" s="187"/>
      <c r="G113" s="432"/>
      <c r="H113" s="95"/>
      <c r="I113" s="95"/>
      <c r="J113" s="95"/>
      <c r="K113" s="95">
        <f>13830+1122+2571+367+593+700+200+175617+35000</f>
        <v>230000</v>
      </c>
      <c r="L113" s="95">
        <f t="shared" si="8"/>
        <v>230000</v>
      </c>
      <c r="M113" s="95">
        <v>230000</v>
      </c>
      <c r="N113" s="95">
        <v>38413.769999999997</v>
      </c>
      <c r="O113" s="843">
        <f>N113/M113</f>
        <v>0.16701639130434781</v>
      </c>
      <c r="P113" s="764" t="s">
        <v>395</v>
      </c>
      <c r="Q113" s="650"/>
    </row>
    <row r="114" spans="1:20" s="911" customFormat="1" ht="160.5" customHeight="1">
      <c r="A114" s="1144"/>
      <c r="B114" s="1093"/>
      <c r="C114" s="1161"/>
      <c r="D114" s="538"/>
      <c r="E114" s="1256" t="s">
        <v>749</v>
      </c>
      <c r="F114" s="1256"/>
      <c r="G114" s="1256"/>
      <c r="H114" s="1256"/>
      <c r="I114" s="1256"/>
      <c r="J114" s="1256"/>
      <c r="K114" s="1256"/>
      <c r="L114" s="1256"/>
      <c r="M114" s="1256"/>
      <c r="N114" s="1256"/>
      <c r="O114" s="1257"/>
      <c r="P114" s="655"/>
      <c r="Q114" s="910"/>
      <c r="R114" s="655"/>
      <c r="S114" s="1162"/>
      <c r="T114" s="1163"/>
    </row>
    <row r="115" spans="1:20" s="64" customFormat="1" ht="63.75" customHeight="1">
      <c r="A115" s="635"/>
      <c r="B115" s="75">
        <v>71095</v>
      </c>
      <c r="C115" s="74"/>
      <c r="D115" s="73"/>
      <c r="E115" s="72" t="s">
        <v>5</v>
      </c>
      <c r="F115" s="409">
        <f>SUM(F116:F118)</f>
        <v>0</v>
      </c>
      <c r="G115" s="409">
        <f>SUM(G116:G118)</f>
        <v>0</v>
      </c>
      <c r="H115" s="409">
        <f>SUM(H116:H118)</f>
        <v>0</v>
      </c>
      <c r="I115" s="409">
        <f>SUM(I116:I118)</f>
        <v>0</v>
      </c>
      <c r="J115" s="409">
        <f>SUM(J116:J118)</f>
        <v>0</v>
      </c>
      <c r="K115" s="409">
        <f>SUM(K116:K126)</f>
        <v>127000</v>
      </c>
      <c r="L115" s="92">
        <f t="shared" ref="L115:L130" si="12">SUM(F115:K115)</f>
        <v>127000</v>
      </c>
      <c r="M115" s="92">
        <f>SUM(M116:M126)</f>
        <v>127000</v>
      </c>
      <c r="N115" s="92">
        <f>SUM(N116:N126)</f>
        <v>27977.39</v>
      </c>
      <c r="O115" s="755">
        <f>N115/M115</f>
        <v>0.2202944094488189</v>
      </c>
      <c r="P115" s="764" t="s">
        <v>395</v>
      </c>
      <c r="Q115" s="650"/>
    </row>
    <row r="116" spans="1:20" s="64" customFormat="1" ht="71.25" customHeight="1">
      <c r="A116" s="388"/>
      <c r="B116" s="154"/>
      <c r="C116" s="241">
        <v>1</v>
      </c>
      <c r="D116" s="152"/>
      <c r="E116" s="365" t="s">
        <v>157</v>
      </c>
      <c r="F116" s="151"/>
      <c r="G116" s="150"/>
      <c r="H116" s="150"/>
      <c r="I116" s="150"/>
      <c r="J116" s="150"/>
      <c r="K116" s="419">
        <v>40000</v>
      </c>
      <c r="L116" s="419">
        <f t="shared" si="12"/>
        <v>40000</v>
      </c>
      <c r="M116" s="419">
        <v>40000</v>
      </c>
      <c r="N116" s="419">
        <v>12961.89</v>
      </c>
      <c r="O116" s="845">
        <f>N116/M116</f>
        <v>0.32404725000000001</v>
      </c>
      <c r="P116" s="764" t="s">
        <v>395</v>
      </c>
      <c r="Q116" s="650"/>
    </row>
    <row r="117" spans="1:20" s="64" customFormat="1" ht="57" customHeight="1">
      <c r="A117" s="388"/>
      <c r="B117" s="125"/>
      <c r="C117" s="87">
        <v>2</v>
      </c>
      <c r="D117" s="136"/>
      <c r="E117" s="364" t="s">
        <v>165</v>
      </c>
      <c r="F117" s="134"/>
      <c r="G117" s="135"/>
      <c r="H117" s="135"/>
      <c r="I117" s="135"/>
      <c r="J117" s="135"/>
      <c r="K117" s="84">
        <v>2000</v>
      </c>
      <c r="L117" s="84">
        <f t="shared" si="12"/>
        <v>2000</v>
      </c>
      <c r="M117" s="84">
        <v>2000</v>
      </c>
      <c r="N117" s="84">
        <v>0</v>
      </c>
      <c r="O117" s="838">
        <v>0</v>
      </c>
      <c r="P117" s="764" t="s">
        <v>395</v>
      </c>
      <c r="Q117" s="650"/>
    </row>
    <row r="118" spans="1:20" s="64" customFormat="1" ht="68.25" customHeight="1">
      <c r="A118" s="1153"/>
      <c r="B118" s="1154"/>
      <c r="C118" s="593">
        <v>3</v>
      </c>
      <c r="D118" s="602"/>
      <c r="E118" s="1164" t="s">
        <v>166</v>
      </c>
      <c r="F118" s="588"/>
      <c r="G118" s="595"/>
      <c r="H118" s="595"/>
      <c r="I118" s="595"/>
      <c r="J118" s="595"/>
      <c r="K118" s="564">
        <v>10000</v>
      </c>
      <c r="L118" s="564">
        <f t="shared" si="12"/>
        <v>10000</v>
      </c>
      <c r="M118" s="564">
        <v>10000</v>
      </c>
      <c r="N118" s="564">
        <v>485.5</v>
      </c>
      <c r="O118" s="763">
        <f>N118/M118</f>
        <v>4.8550000000000003E-2</v>
      </c>
      <c r="P118" s="764" t="s">
        <v>395</v>
      </c>
      <c r="Q118" s="650"/>
    </row>
    <row r="119" spans="1:20" s="911" customFormat="1" ht="123.6" customHeight="1">
      <c r="A119" s="1144"/>
      <c r="B119" s="1093"/>
      <c r="C119" s="1161"/>
      <c r="D119" s="538"/>
      <c r="E119" s="1256" t="s">
        <v>750</v>
      </c>
      <c r="F119" s="1256"/>
      <c r="G119" s="1256"/>
      <c r="H119" s="1256"/>
      <c r="I119" s="1256"/>
      <c r="J119" s="1256"/>
      <c r="K119" s="1256"/>
      <c r="L119" s="1256"/>
      <c r="M119" s="1256"/>
      <c r="N119" s="1256"/>
      <c r="O119" s="1257"/>
      <c r="P119" s="655"/>
      <c r="Q119" s="910"/>
      <c r="R119" s="655"/>
      <c r="S119" s="1162"/>
      <c r="T119" s="1163"/>
    </row>
    <row r="120" spans="1:20" s="64" customFormat="1" ht="67.5" customHeight="1">
      <c r="A120" s="1153"/>
      <c r="B120" s="1154"/>
      <c r="C120" s="593">
        <v>4</v>
      </c>
      <c r="D120" s="602"/>
      <c r="E120" s="1164" t="s">
        <v>366</v>
      </c>
      <c r="F120" s="588"/>
      <c r="G120" s="595"/>
      <c r="H120" s="595"/>
      <c r="I120" s="595"/>
      <c r="J120" s="595"/>
      <c r="K120" s="564">
        <v>15000</v>
      </c>
      <c r="L120" s="564">
        <f t="shared" si="12"/>
        <v>15000</v>
      </c>
      <c r="M120" s="564">
        <v>15000</v>
      </c>
      <c r="N120" s="564">
        <v>630</v>
      </c>
      <c r="O120" s="763">
        <f>N120/M120</f>
        <v>4.2000000000000003E-2</v>
      </c>
      <c r="P120" s="764" t="s">
        <v>395</v>
      </c>
      <c r="Q120" s="650"/>
    </row>
    <row r="121" spans="1:20" s="911" customFormat="1" ht="54" customHeight="1">
      <c r="A121" s="1144"/>
      <c r="B121" s="1093"/>
      <c r="C121" s="1161"/>
      <c r="D121" s="538"/>
      <c r="E121" s="1256" t="s">
        <v>699</v>
      </c>
      <c r="F121" s="1256"/>
      <c r="G121" s="1256"/>
      <c r="H121" s="1256"/>
      <c r="I121" s="1256"/>
      <c r="J121" s="1256"/>
      <c r="K121" s="1256"/>
      <c r="L121" s="1256"/>
      <c r="M121" s="1256"/>
      <c r="N121" s="1256"/>
      <c r="O121" s="1257"/>
      <c r="P121" s="655"/>
      <c r="Q121" s="910"/>
      <c r="R121" s="655"/>
      <c r="S121" s="1162"/>
      <c r="T121" s="1163"/>
    </row>
    <row r="122" spans="1:20" s="64" customFormat="1" ht="70.5" customHeight="1">
      <c r="A122" s="1153"/>
      <c r="B122" s="1154"/>
      <c r="C122" s="593">
        <v>5</v>
      </c>
      <c r="D122" s="602"/>
      <c r="E122" s="1164" t="s">
        <v>162</v>
      </c>
      <c r="F122" s="588"/>
      <c r="G122" s="595"/>
      <c r="H122" s="595"/>
      <c r="I122" s="595"/>
      <c r="J122" s="595"/>
      <c r="K122" s="564">
        <v>30000</v>
      </c>
      <c r="L122" s="564">
        <f t="shared" si="12"/>
        <v>30000</v>
      </c>
      <c r="M122" s="564">
        <v>30000</v>
      </c>
      <c r="N122" s="564">
        <v>0</v>
      </c>
      <c r="O122" s="763">
        <v>0</v>
      </c>
      <c r="P122" s="764" t="s">
        <v>395</v>
      </c>
      <c r="Q122" s="650"/>
    </row>
    <row r="123" spans="1:20" s="911" customFormat="1" ht="109.5" customHeight="1">
      <c r="A123" s="1144"/>
      <c r="B123" s="1093"/>
      <c r="C123" s="1161"/>
      <c r="D123" s="538"/>
      <c r="E123" s="1256" t="s">
        <v>751</v>
      </c>
      <c r="F123" s="1256"/>
      <c r="G123" s="1256"/>
      <c r="H123" s="1256"/>
      <c r="I123" s="1256"/>
      <c r="J123" s="1256"/>
      <c r="K123" s="1256"/>
      <c r="L123" s="1256"/>
      <c r="M123" s="1256"/>
      <c r="N123" s="1256"/>
      <c r="O123" s="1257"/>
      <c r="P123" s="655"/>
      <c r="Q123" s="910"/>
      <c r="R123" s="655"/>
      <c r="S123" s="1162"/>
      <c r="T123" s="1163"/>
    </row>
    <row r="124" spans="1:20" s="64" customFormat="1" ht="74.25" customHeight="1">
      <c r="A124" s="1153"/>
      <c r="B124" s="1154"/>
      <c r="C124" s="593">
        <v>6</v>
      </c>
      <c r="D124" s="602"/>
      <c r="E124" s="1164" t="s">
        <v>163</v>
      </c>
      <c r="F124" s="588"/>
      <c r="G124" s="595"/>
      <c r="H124" s="595"/>
      <c r="I124" s="595"/>
      <c r="J124" s="595"/>
      <c r="K124" s="564">
        <v>20000</v>
      </c>
      <c r="L124" s="564">
        <f t="shared" si="12"/>
        <v>20000</v>
      </c>
      <c r="M124" s="564">
        <v>20000</v>
      </c>
      <c r="N124" s="564">
        <v>13900</v>
      </c>
      <c r="O124" s="763">
        <f>N124/M124</f>
        <v>0.69499999999999995</v>
      </c>
      <c r="P124" s="764" t="s">
        <v>395</v>
      </c>
      <c r="Q124" s="650"/>
    </row>
    <row r="125" spans="1:20" s="911" customFormat="1" ht="141.75" customHeight="1">
      <c r="A125" s="1144"/>
      <c r="B125" s="1093"/>
      <c r="C125" s="1161"/>
      <c r="D125" s="538"/>
      <c r="E125" s="1256" t="s">
        <v>752</v>
      </c>
      <c r="F125" s="1256"/>
      <c r="G125" s="1256"/>
      <c r="H125" s="1256"/>
      <c r="I125" s="1256"/>
      <c r="J125" s="1256"/>
      <c r="K125" s="1256"/>
      <c r="L125" s="1256"/>
      <c r="M125" s="1256"/>
      <c r="N125" s="1256"/>
      <c r="O125" s="1257"/>
      <c r="P125" s="655"/>
      <c r="Q125" s="910"/>
      <c r="R125" s="655"/>
      <c r="S125" s="1162"/>
      <c r="T125" s="1163"/>
    </row>
    <row r="126" spans="1:20" s="314" customFormat="1" ht="69.75" customHeight="1">
      <c r="A126" s="1153"/>
      <c r="B126" s="1154"/>
      <c r="C126" s="593">
        <v>7</v>
      </c>
      <c r="D126" s="602"/>
      <c r="E126" s="1164" t="s">
        <v>164</v>
      </c>
      <c r="F126" s="588"/>
      <c r="G126" s="595"/>
      <c r="H126" s="595"/>
      <c r="I126" s="595"/>
      <c r="J126" s="595"/>
      <c r="K126" s="564">
        <v>10000</v>
      </c>
      <c r="L126" s="564">
        <f t="shared" si="12"/>
        <v>10000</v>
      </c>
      <c r="M126" s="564">
        <v>10000</v>
      </c>
      <c r="N126" s="564">
        <v>0</v>
      </c>
      <c r="O126" s="763">
        <v>0</v>
      </c>
      <c r="P126" s="766" t="s">
        <v>395</v>
      </c>
      <c r="Q126" s="649"/>
    </row>
    <row r="127" spans="1:20" s="64" customFormat="1" ht="37.799999999999997">
      <c r="A127" s="1153"/>
      <c r="B127" s="1154"/>
      <c r="C127" s="23"/>
      <c r="D127" s="130"/>
      <c r="E127" s="1250" t="s">
        <v>745</v>
      </c>
      <c r="F127" s="1250"/>
      <c r="G127" s="1250"/>
      <c r="H127" s="1250"/>
      <c r="I127" s="1250"/>
      <c r="J127" s="1250"/>
      <c r="K127" s="1250"/>
      <c r="L127" s="1250"/>
      <c r="M127" s="1250"/>
      <c r="N127" s="1250"/>
      <c r="O127" s="1251"/>
      <c r="P127" s="764"/>
      <c r="Q127" s="650"/>
    </row>
    <row r="128" spans="1:20" s="76" customFormat="1" ht="50.1" customHeight="1">
      <c r="A128" s="83">
        <v>5</v>
      </c>
      <c r="B128" s="82">
        <v>720</v>
      </c>
      <c r="C128" s="81"/>
      <c r="D128" s="80"/>
      <c r="E128" s="79" t="s">
        <v>126</v>
      </c>
      <c r="F128" s="77">
        <f t="shared" ref="F128:K128" si="13">F129</f>
        <v>0</v>
      </c>
      <c r="G128" s="77">
        <f t="shared" si="13"/>
        <v>0</v>
      </c>
      <c r="H128" s="77">
        <f t="shared" si="13"/>
        <v>0</v>
      </c>
      <c r="I128" s="77">
        <f t="shared" si="13"/>
        <v>0</v>
      </c>
      <c r="J128" s="77">
        <f t="shared" si="13"/>
        <v>0</v>
      </c>
      <c r="K128" s="77">
        <f t="shared" si="13"/>
        <v>50000</v>
      </c>
      <c r="L128" s="77">
        <f t="shared" si="12"/>
        <v>50000</v>
      </c>
      <c r="M128" s="77">
        <f>M129</f>
        <v>50100</v>
      </c>
      <c r="N128" s="77">
        <f>N129</f>
        <v>50100</v>
      </c>
      <c r="O128" s="834">
        <f t="shared" ref="O128:O133" si="14">N128/M128</f>
        <v>1</v>
      </c>
      <c r="P128" s="764" t="s">
        <v>395</v>
      </c>
      <c r="Q128" s="650"/>
    </row>
    <row r="129" spans="1:17" s="197" customFormat="1" ht="50.1" customHeight="1">
      <c r="A129" s="559"/>
      <c r="B129" s="172">
        <v>72095</v>
      </c>
      <c r="C129" s="171"/>
      <c r="D129" s="170"/>
      <c r="E129" s="169" t="s">
        <v>5</v>
      </c>
      <c r="F129" s="409">
        <f t="shared" ref="F129:J129" si="15">SUM(F130:F130)</f>
        <v>0</v>
      </c>
      <c r="G129" s="409">
        <f t="shared" si="15"/>
        <v>0</v>
      </c>
      <c r="H129" s="409">
        <f t="shared" si="15"/>
        <v>0</v>
      </c>
      <c r="I129" s="409">
        <f t="shared" si="15"/>
        <v>0</v>
      </c>
      <c r="J129" s="409">
        <f t="shared" si="15"/>
        <v>0</v>
      </c>
      <c r="K129" s="409">
        <f>SUM(K130:K130)</f>
        <v>50000</v>
      </c>
      <c r="L129" s="92">
        <f t="shared" si="12"/>
        <v>50000</v>
      </c>
      <c r="M129" s="92">
        <f>M130</f>
        <v>50100</v>
      </c>
      <c r="N129" s="92">
        <f>N130</f>
        <v>50100</v>
      </c>
      <c r="O129" s="755">
        <f t="shared" si="14"/>
        <v>1</v>
      </c>
      <c r="P129" s="765" t="s">
        <v>395</v>
      </c>
      <c r="Q129" s="651"/>
    </row>
    <row r="130" spans="1:17" s="291" customFormat="1" ht="141.75" customHeight="1">
      <c r="A130" s="559"/>
      <c r="B130" s="199"/>
      <c r="C130" s="729">
        <v>1</v>
      </c>
      <c r="D130" s="730"/>
      <c r="E130" s="363" t="s">
        <v>359</v>
      </c>
      <c r="F130" s="217"/>
      <c r="G130" s="89"/>
      <c r="H130" s="89"/>
      <c r="I130" s="89"/>
      <c r="J130" s="89"/>
      <c r="K130" s="217">
        <v>50000</v>
      </c>
      <c r="L130" s="419">
        <f t="shared" si="12"/>
        <v>50000</v>
      </c>
      <c r="M130" s="419">
        <v>50100</v>
      </c>
      <c r="N130" s="419">
        <v>50100</v>
      </c>
      <c r="O130" s="845">
        <f t="shared" si="14"/>
        <v>1</v>
      </c>
      <c r="P130" s="765" t="s">
        <v>395</v>
      </c>
      <c r="Q130" s="651"/>
    </row>
    <row r="131" spans="1:17" s="76" customFormat="1" ht="62.25" customHeight="1">
      <c r="A131" s="83">
        <v>6</v>
      </c>
      <c r="B131" s="82">
        <v>750</v>
      </c>
      <c r="C131" s="81"/>
      <c r="D131" s="80"/>
      <c r="E131" s="79" t="s">
        <v>125</v>
      </c>
      <c r="F131" s="77">
        <f t="shared" ref="F131:N131" si="16">F132+F149+F159+F208+F214+F238</f>
        <v>164758.99</v>
      </c>
      <c r="G131" s="77">
        <f t="shared" si="16"/>
        <v>0</v>
      </c>
      <c r="H131" s="77">
        <f t="shared" si="16"/>
        <v>0</v>
      </c>
      <c r="I131" s="77">
        <f t="shared" si="16"/>
        <v>0</v>
      </c>
      <c r="J131" s="77">
        <f t="shared" si="16"/>
        <v>0</v>
      </c>
      <c r="K131" s="77" t="e">
        <f t="shared" si="16"/>
        <v>#REF!</v>
      </c>
      <c r="L131" s="77">
        <f t="shared" si="16"/>
        <v>7987086.9900000002</v>
      </c>
      <c r="M131" s="77">
        <f t="shared" si="16"/>
        <v>8036927.9900000002</v>
      </c>
      <c r="N131" s="77">
        <f t="shared" si="16"/>
        <v>3713506.6299999994</v>
      </c>
      <c r="O131" s="834">
        <f t="shared" si="14"/>
        <v>0.46205548122622897</v>
      </c>
      <c r="P131" s="764" t="s">
        <v>395</v>
      </c>
      <c r="Q131" s="650"/>
    </row>
    <row r="132" spans="1:17" s="197" customFormat="1" ht="62.25" customHeight="1">
      <c r="A132" s="559"/>
      <c r="B132" s="172" t="s">
        <v>124</v>
      </c>
      <c r="C132" s="171"/>
      <c r="D132" s="170"/>
      <c r="E132" s="169" t="s">
        <v>123</v>
      </c>
      <c r="F132" s="409">
        <f>F133+F140</f>
        <v>164758.99</v>
      </c>
      <c r="G132" s="409">
        <f t="shared" ref="G132:K132" si="17">G133+G140</f>
        <v>0</v>
      </c>
      <c r="H132" s="409">
        <f t="shared" si="17"/>
        <v>0</v>
      </c>
      <c r="I132" s="409">
        <f t="shared" si="17"/>
        <v>0</v>
      </c>
      <c r="J132" s="409">
        <f t="shared" si="17"/>
        <v>0</v>
      </c>
      <c r="K132" s="409">
        <f t="shared" si="17"/>
        <v>249136</v>
      </c>
      <c r="L132" s="92">
        <f>SUM(F132:K132)</f>
        <v>413894.99</v>
      </c>
      <c r="M132" s="92">
        <f>M133+M140+M147</f>
        <v>425894.99</v>
      </c>
      <c r="N132" s="92">
        <f>N133+N140+N147</f>
        <v>164675.06</v>
      </c>
      <c r="O132" s="755">
        <f t="shared" si="14"/>
        <v>0.38665648544022552</v>
      </c>
      <c r="P132" s="765" t="s">
        <v>395</v>
      </c>
      <c r="Q132" s="651"/>
    </row>
    <row r="133" spans="1:17" s="291" customFormat="1" ht="85.2" customHeight="1">
      <c r="A133" s="581"/>
      <c r="B133" s="199"/>
      <c r="C133" s="210">
        <v>1</v>
      </c>
      <c r="D133" s="267"/>
      <c r="E133" s="223" t="s">
        <v>753</v>
      </c>
      <c r="F133" s="217">
        <f>SUM(F135:F139)</f>
        <v>99683.99</v>
      </c>
      <c r="G133" s="89"/>
      <c r="H133" s="89"/>
      <c r="I133" s="89"/>
      <c r="J133" s="89"/>
      <c r="K133" s="217">
        <f>SUM(K135:K139)</f>
        <v>191355</v>
      </c>
      <c r="L133" s="419">
        <f>SUM(F133:K133)</f>
        <v>291038.99</v>
      </c>
      <c r="M133" s="419">
        <f>SUM(M135:M139)</f>
        <v>291038.99</v>
      </c>
      <c r="N133" s="419">
        <f>SUM(N135:N139)</f>
        <v>124760.28</v>
      </c>
      <c r="O133" s="845">
        <f t="shared" si="14"/>
        <v>0.42867204837399964</v>
      </c>
      <c r="P133" s="771"/>
      <c r="Q133" s="651"/>
    </row>
    <row r="134" spans="1:17" s="359" customFormat="1" ht="30" customHeight="1">
      <c r="A134" s="582"/>
      <c r="B134" s="264"/>
      <c r="C134" s="361"/>
      <c r="D134" s="263"/>
      <c r="E134" s="360" t="s">
        <v>13</v>
      </c>
      <c r="F134" s="362"/>
      <c r="G134" s="105"/>
      <c r="H134" s="105"/>
      <c r="I134" s="105"/>
      <c r="J134" s="105"/>
      <c r="K134" s="105"/>
      <c r="L134" s="105"/>
      <c r="M134" s="105"/>
      <c r="N134" s="105"/>
      <c r="O134" s="846"/>
      <c r="P134" s="772"/>
      <c r="Q134" s="656"/>
    </row>
    <row r="135" spans="1:17" s="291" customFormat="1" ht="46.5" customHeight="1">
      <c r="A135" s="581"/>
      <c r="B135" s="199"/>
      <c r="C135" s="448"/>
      <c r="D135" s="411"/>
      <c r="E135" s="360" t="s">
        <v>236</v>
      </c>
      <c r="F135" s="625">
        <v>99683.99</v>
      </c>
      <c r="G135" s="626"/>
      <c r="H135" s="626"/>
      <c r="I135" s="626"/>
      <c r="J135" s="626"/>
      <c r="K135" s="626">
        <v>120438</v>
      </c>
      <c r="L135" s="1185">
        <v>220121.99</v>
      </c>
      <c r="M135" s="1185">
        <v>220121.99</v>
      </c>
      <c r="N135" s="1185">
        <v>90862.01</v>
      </c>
      <c r="O135" s="1186">
        <f>N135/M135</f>
        <v>0.4127802497151693</v>
      </c>
      <c r="P135" s="765"/>
      <c r="Q135" s="651"/>
    </row>
    <row r="136" spans="1:17" s="291" customFormat="1" ht="44.25" customHeight="1">
      <c r="A136" s="581"/>
      <c r="B136" s="199"/>
      <c r="C136" s="448"/>
      <c r="D136" s="411"/>
      <c r="E136" s="360" t="s">
        <v>122</v>
      </c>
      <c r="F136" s="625"/>
      <c r="G136" s="626"/>
      <c r="H136" s="626"/>
      <c r="I136" s="626"/>
      <c r="J136" s="626"/>
      <c r="K136" s="626">
        <v>18710</v>
      </c>
      <c r="L136" s="1185">
        <v>18710</v>
      </c>
      <c r="M136" s="1185">
        <v>18710</v>
      </c>
      <c r="N136" s="1185">
        <v>13455.58</v>
      </c>
      <c r="O136" s="1186">
        <f t="shared" ref="O136:O139" si="18">N136/M136</f>
        <v>0.71916515232495992</v>
      </c>
      <c r="P136" s="765"/>
      <c r="Q136" s="651"/>
    </row>
    <row r="137" spans="1:17" s="291" customFormat="1" ht="44.25" customHeight="1">
      <c r="A137" s="581"/>
      <c r="B137" s="199"/>
      <c r="C137" s="448"/>
      <c r="D137" s="411"/>
      <c r="E137" s="360" t="s">
        <v>121</v>
      </c>
      <c r="F137" s="625"/>
      <c r="G137" s="626"/>
      <c r="H137" s="626"/>
      <c r="I137" s="626"/>
      <c r="J137" s="626"/>
      <c r="K137" s="626">
        <v>40841</v>
      </c>
      <c r="L137" s="1185">
        <v>40841</v>
      </c>
      <c r="M137" s="1185">
        <v>40841</v>
      </c>
      <c r="N137" s="1185">
        <v>15697.38</v>
      </c>
      <c r="O137" s="1186">
        <f t="shared" si="18"/>
        <v>0.38435346832839545</v>
      </c>
      <c r="P137" s="765"/>
      <c r="Q137" s="651"/>
    </row>
    <row r="138" spans="1:17" s="291" customFormat="1" ht="44.25" customHeight="1">
      <c r="A138" s="581"/>
      <c r="B138" s="199"/>
      <c r="C138" s="448"/>
      <c r="D138" s="411"/>
      <c r="E138" s="360" t="s">
        <v>120</v>
      </c>
      <c r="F138" s="625"/>
      <c r="G138" s="626"/>
      <c r="H138" s="626"/>
      <c r="I138" s="626"/>
      <c r="J138" s="626"/>
      <c r="K138" s="626">
        <v>5852</v>
      </c>
      <c r="L138" s="1185">
        <v>5852</v>
      </c>
      <c r="M138" s="1185">
        <v>5852</v>
      </c>
      <c r="N138" s="1185">
        <v>609.30999999999995</v>
      </c>
      <c r="O138" s="1186">
        <f t="shared" si="18"/>
        <v>0.10411995898838003</v>
      </c>
      <c r="P138" s="765"/>
      <c r="Q138" s="651"/>
    </row>
    <row r="139" spans="1:17" s="291" customFormat="1" ht="44.25" customHeight="1">
      <c r="A139" s="581"/>
      <c r="B139" s="199"/>
      <c r="C139" s="448"/>
      <c r="D139" s="411"/>
      <c r="E139" s="360" t="s">
        <v>119</v>
      </c>
      <c r="F139" s="625"/>
      <c r="G139" s="626"/>
      <c r="H139" s="626"/>
      <c r="I139" s="626"/>
      <c r="J139" s="626"/>
      <c r="K139" s="626">
        <v>5514</v>
      </c>
      <c r="L139" s="1185">
        <v>5514</v>
      </c>
      <c r="M139" s="1185">
        <v>5514</v>
      </c>
      <c r="N139" s="1185">
        <v>4136</v>
      </c>
      <c r="O139" s="1186">
        <f t="shared" si="18"/>
        <v>0.75009067827348563</v>
      </c>
      <c r="P139" s="765" t="s">
        <v>395</v>
      </c>
      <c r="Q139" s="651"/>
    </row>
    <row r="140" spans="1:17" s="291" customFormat="1" ht="103.2" customHeight="1">
      <c r="A140" s="581"/>
      <c r="B140" s="199"/>
      <c r="C140" s="571">
        <v>2</v>
      </c>
      <c r="D140" s="697"/>
      <c r="E140" s="698" t="s">
        <v>754</v>
      </c>
      <c r="F140" s="565">
        <f>F142+F143+F144+F145+F146</f>
        <v>65075</v>
      </c>
      <c r="G140" s="565">
        <f t="shared" ref="G140:K140" si="19">G142+G143+G144+G145+G146</f>
        <v>0</v>
      </c>
      <c r="H140" s="565">
        <f t="shared" si="19"/>
        <v>0</v>
      </c>
      <c r="I140" s="565">
        <f t="shared" si="19"/>
        <v>0</v>
      </c>
      <c r="J140" s="565">
        <f t="shared" si="19"/>
        <v>0</v>
      </c>
      <c r="K140" s="565">
        <f t="shared" si="19"/>
        <v>57781</v>
      </c>
      <c r="L140" s="564">
        <f t="shared" ref="L140" si="20">SUM(F140:K140)</f>
        <v>122856</v>
      </c>
      <c r="M140" s="564">
        <f>SUM(M142:M146)</f>
        <v>122856</v>
      </c>
      <c r="N140" s="564">
        <f>SUM(N142:N146)</f>
        <v>39914.78</v>
      </c>
      <c r="O140" s="763">
        <f>N140/M140</f>
        <v>0.32489076642573417</v>
      </c>
      <c r="P140" s="771"/>
      <c r="Q140" s="651"/>
    </row>
    <row r="141" spans="1:17" s="359" customFormat="1" ht="30" customHeight="1">
      <c r="A141" s="582"/>
      <c r="B141" s="264"/>
      <c r="C141" s="361"/>
      <c r="D141" s="263"/>
      <c r="E141" s="360" t="s">
        <v>13</v>
      </c>
      <c r="F141" s="362"/>
      <c r="G141" s="105"/>
      <c r="H141" s="105"/>
      <c r="I141" s="105"/>
      <c r="J141" s="105"/>
      <c r="K141" s="105"/>
      <c r="L141" s="105"/>
      <c r="M141" s="105"/>
      <c r="N141" s="105"/>
      <c r="O141" s="846"/>
      <c r="P141" s="772"/>
      <c r="Q141" s="656"/>
    </row>
    <row r="142" spans="1:17" s="291" customFormat="1" ht="46.5" customHeight="1">
      <c r="A142" s="581"/>
      <c r="B142" s="199"/>
      <c r="C142" s="448"/>
      <c r="D142" s="411"/>
      <c r="E142" s="360" t="s">
        <v>236</v>
      </c>
      <c r="F142" s="625">
        <v>65075</v>
      </c>
      <c r="G142" s="626"/>
      <c r="H142" s="626"/>
      <c r="I142" s="626"/>
      <c r="J142" s="626"/>
      <c r="K142" s="626">
        <v>28282</v>
      </c>
      <c r="L142" s="1185">
        <f t="shared" ref="L142:L146" si="21">SUM(F142:K142)</f>
        <v>93357</v>
      </c>
      <c r="M142" s="1185">
        <v>93357</v>
      </c>
      <c r="N142" s="1185">
        <v>27587.02</v>
      </c>
      <c r="O142" s="1186">
        <f>N142/M142</f>
        <v>0.29550028385659349</v>
      </c>
      <c r="P142" s="765"/>
      <c r="Q142" s="651"/>
    </row>
    <row r="143" spans="1:17" s="291" customFormat="1" ht="44.25" customHeight="1">
      <c r="A143" s="581"/>
      <c r="B143" s="199"/>
      <c r="C143" s="448"/>
      <c r="D143" s="411"/>
      <c r="E143" s="360" t="s">
        <v>122</v>
      </c>
      <c r="F143" s="625"/>
      <c r="G143" s="626"/>
      <c r="H143" s="626"/>
      <c r="I143" s="626"/>
      <c r="J143" s="626"/>
      <c r="K143" s="626">
        <v>8217</v>
      </c>
      <c r="L143" s="1185">
        <f t="shared" si="21"/>
        <v>8217</v>
      </c>
      <c r="M143" s="1185">
        <v>8217</v>
      </c>
      <c r="N143" s="1185">
        <v>5595.34</v>
      </c>
      <c r="O143" s="1186">
        <f t="shared" ref="O143:O146" si="22">N143/M143</f>
        <v>0.68094681757332365</v>
      </c>
      <c r="P143" s="765"/>
      <c r="Q143" s="651"/>
    </row>
    <row r="144" spans="1:17" s="291" customFormat="1" ht="44.25" customHeight="1">
      <c r="A144" s="581"/>
      <c r="B144" s="199"/>
      <c r="C144" s="448"/>
      <c r="D144" s="411"/>
      <c r="E144" s="360" t="s">
        <v>121</v>
      </c>
      <c r="F144" s="625"/>
      <c r="G144" s="626"/>
      <c r="H144" s="626"/>
      <c r="I144" s="626"/>
      <c r="J144" s="626"/>
      <c r="K144" s="626">
        <v>17370</v>
      </c>
      <c r="L144" s="1185">
        <f t="shared" si="21"/>
        <v>17370</v>
      </c>
      <c r="M144" s="1185">
        <v>17370</v>
      </c>
      <c r="N144" s="1185">
        <v>4975.29</v>
      </c>
      <c r="O144" s="1186">
        <f t="shared" si="22"/>
        <v>0.28643005181347148</v>
      </c>
      <c r="P144" s="765"/>
      <c r="Q144" s="651"/>
    </row>
    <row r="145" spans="1:243" s="291" customFormat="1" ht="44.25" customHeight="1">
      <c r="A145" s="581"/>
      <c r="B145" s="199"/>
      <c r="C145" s="448"/>
      <c r="D145" s="411"/>
      <c r="E145" s="360" t="s">
        <v>120</v>
      </c>
      <c r="F145" s="625"/>
      <c r="G145" s="626"/>
      <c r="H145" s="626"/>
      <c r="I145" s="626"/>
      <c r="J145" s="626"/>
      <c r="K145" s="626">
        <v>2489</v>
      </c>
      <c r="L145" s="1185">
        <f t="shared" si="21"/>
        <v>2489</v>
      </c>
      <c r="M145" s="1185">
        <v>2489</v>
      </c>
      <c r="N145" s="1185">
        <v>689.13</v>
      </c>
      <c r="O145" s="1186">
        <f t="shared" si="22"/>
        <v>0.27687022900763358</v>
      </c>
      <c r="P145" s="765"/>
      <c r="Q145" s="651"/>
    </row>
    <row r="146" spans="1:243" s="291" customFormat="1" ht="44.25" customHeight="1">
      <c r="A146" s="581"/>
      <c r="B146" s="199"/>
      <c r="C146" s="448"/>
      <c r="D146" s="411"/>
      <c r="E146" s="360" t="s">
        <v>119</v>
      </c>
      <c r="F146" s="625"/>
      <c r="G146" s="626"/>
      <c r="H146" s="626"/>
      <c r="I146" s="626"/>
      <c r="J146" s="626"/>
      <c r="K146" s="626">
        <v>1423</v>
      </c>
      <c r="L146" s="1185">
        <f t="shared" si="21"/>
        <v>1423</v>
      </c>
      <c r="M146" s="1185">
        <v>1423</v>
      </c>
      <c r="N146" s="1185">
        <v>1068</v>
      </c>
      <c r="O146" s="1186">
        <f t="shared" si="22"/>
        <v>0.75052705551651444</v>
      </c>
      <c r="P146" s="765" t="s">
        <v>395</v>
      </c>
      <c r="Q146" s="651"/>
    </row>
    <row r="147" spans="1:243" s="291" customFormat="1" ht="104.25" customHeight="1">
      <c r="A147" s="581"/>
      <c r="B147" s="199"/>
      <c r="C147" s="571">
        <v>3</v>
      </c>
      <c r="D147" s="697"/>
      <c r="E147" s="698" t="s">
        <v>373</v>
      </c>
      <c r="F147" s="565">
        <f>F150+F151+F152+F153+F154</f>
        <v>0</v>
      </c>
      <c r="G147" s="565">
        <f t="shared" ref="G147:K147" si="23">G150+G151+G152+G153+G154</f>
        <v>0</v>
      </c>
      <c r="H147" s="565">
        <f t="shared" si="23"/>
        <v>0</v>
      </c>
      <c r="I147" s="565">
        <f t="shared" si="23"/>
        <v>0</v>
      </c>
      <c r="J147" s="565">
        <f t="shared" si="23"/>
        <v>0</v>
      </c>
      <c r="K147" s="565">
        <f t="shared" si="23"/>
        <v>242600</v>
      </c>
      <c r="L147" s="564">
        <v>0</v>
      </c>
      <c r="M147" s="564">
        <v>12000</v>
      </c>
      <c r="N147" s="564">
        <v>0</v>
      </c>
      <c r="O147" s="763">
        <v>0</v>
      </c>
      <c r="P147" s="771" t="s">
        <v>395</v>
      </c>
      <c r="Q147" s="651"/>
    </row>
    <row r="148" spans="1:243" s="64" customFormat="1" ht="37.799999999999997">
      <c r="A148" s="1153"/>
      <c r="B148" s="1154"/>
      <c r="C148" s="23"/>
      <c r="D148" s="130"/>
      <c r="E148" s="1250" t="s">
        <v>755</v>
      </c>
      <c r="F148" s="1250"/>
      <c r="G148" s="1250"/>
      <c r="H148" s="1250"/>
      <c r="I148" s="1250"/>
      <c r="J148" s="1250"/>
      <c r="K148" s="1250"/>
      <c r="L148" s="1250"/>
      <c r="M148" s="1250"/>
      <c r="N148" s="1250"/>
      <c r="O148" s="1251"/>
      <c r="P148" s="764"/>
      <c r="Q148" s="650"/>
    </row>
    <row r="149" spans="1:243" s="64" customFormat="1" ht="59.25" customHeight="1">
      <c r="A149" s="484"/>
      <c r="B149" s="75">
        <v>75022</v>
      </c>
      <c r="C149" s="74"/>
      <c r="D149" s="73"/>
      <c r="E149" s="72" t="s">
        <v>118</v>
      </c>
      <c r="F149" s="409">
        <f>SUM(F150:F157)</f>
        <v>0</v>
      </c>
      <c r="G149" s="409">
        <f>SUM(G150:G157)</f>
        <v>0</v>
      </c>
      <c r="H149" s="409">
        <f>SUM(H150:H157)</f>
        <v>0</v>
      </c>
      <c r="I149" s="409">
        <f>SUM(I150:I157)</f>
        <v>0</v>
      </c>
      <c r="J149" s="409">
        <f>SUM(J150:J157)</f>
        <v>0</v>
      </c>
      <c r="K149" s="409">
        <f>SUM(K150:K158)</f>
        <v>246700</v>
      </c>
      <c r="L149" s="92">
        <f t="shared" ref="L149:L158" si="24">SUM(F149:K149)</f>
        <v>246700</v>
      </c>
      <c r="M149" s="92">
        <f>SUM(M150:M158)</f>
        <v>246700</v>
      </c>
      <c r="N149" s="92">
        <f>SUM(N150:N158)</f>
        <v>102158.24</v>
      </c>
      <c r="O149" s="755">
        <f>N149/M149</f>
        <v>0.41409906769355492</v>
      </c>
      <c r="P149" s="764" t="s">
        <v>395</v>
      </c>
      <c r="Q149" s="650"/>
    </row>
    <row r="150" spans="1:243" s="298" customFormat="1" ht="66" customHeight="1">
      <c r="A150" s="583"/>
      <c r="B150" s="297"/>
      <c r="C150" s="15">
        <v>1</v>
      </c>
      <c r="D150" s="91"/>
      <c r="E150" s="90" t="s">
        <v>168</v>
      </c>
      <c r="F150" s="493"/>
      <c r="G150" s="272"/>
      <c r="H150" s="272"/>
      <c r="I150" s="272"/>
      <c r="J150" s="272"/>
      <c r="K150" s="475">
        <v>20800</v>
      </c>
      <c r="L150" s="475">
        <f t="shared" si="24"/>
        <v>20800</v>
      </c>
      <c r="M150" s="494">
        <v>20800</v>
      </c>
      <c r="N150" s="494">
        <v>9600</v>
      </c>
      <c r="O150" s="847">
        <f>N150/M150</f>
        <v>0.46153846153846156</v>
      </c>
      <c r="P150" s="773" t="s">
        <v>395</v>
      </c>
      <c r="Q150" s="657"/>
    </row>
    <row r="151" spans="1:243" s="296" customFormat="1" ht="66" customHeight="1">
      <c r="A151" s="583"/>
      <c r="B151" s="297"/>
      <c r="C151" s="87">
        <v>2</v>
      </c>
      <c r="D151" s="86"/>
      <c r="E151" s="85" t="s">
        <v>117</v>
      </c>
      <c r="F151" s="495"/>
      <c r="G151" s="460"/>
      <c r="H151" s="460"/>
      <c r="I151" s="460"/>
      <c r="J151" s="460"/>
      <c r="K151" s="84">
        <f>23400+20800+54600+78000</f>
        <v>176800</v>
      </c>
      <c r="L151" s="567">
        <f t="shared" si="24"/>
        <v>176800</v>
      </c>
      <c r="M151" s="496">
        <v>176800</v>
      </c>
      <c r="N151" s="496">
        <v>80390</v>
      </c>
      <c r="O151" s="848">
        <f>N151/M151</f>
        <v>0.4546945701357466</v>
      </c>
      <c r="P151" s="769" t="s">
        <v>395</v>
      </c>
      <c r="Q151" s="653"/>
    </row>
    <row r="152" spans="1:243" s="356" customFormat="1" ht="66" customHeight="1">
      <c r="A152" s="583"/>
      <c r="B152" s="114"/>
      <c r="C152" s="87">
        <v>3</v>
      </c>
      <c r="D152" s="136"/>
      <c r="E152" s="138" t="s">
        <v>116</v>
      </c>
      <c r="F152" s="497"/>
      <c r="G152" s="357"/>
      <c r="H152" s="357"/>
      <c r="I152" s="357"/>
      <c r="J152" s="357"/>
      <c r="K152" s="358">
        <v>35000</v>
      </c>
      <c r="L152" s="567">
        <f t="shared" si="24"/>
        <v>35000</v>
      </c>
      <c r="M152" s="496">
        <v>35000</v>
      </c>
      <c r="N152" s="496">
        <v>10500</v>
      </c>
      <c r="O152" s="848">
        <f>N152/M152</f>
        <v>0.3</v>
      </c>
      <c r="P152" s="770" t="s">
        <v>395</v>
      </c>
      <c r="Q152" s="654"/>
    </row>
    <row r="153" spans="1:243" s="356" customFormat="1" ht="66" customHeight="1">
      <c r="A153" s="583"/>
      <c r="B153" s="114"/>
      <c r="C153" s="87">
        <v>4</v>
      </c>
      <c r="D153" s="136"/>
      <c r="E153" s="138" t="s">
        <v>115</v>
      </c>
      <c r="F153" s="497"/>
      <c r="G153" s="357"/>
      <c r="H153" s="357"/>
      <c r="I153" s="357"/>
      <c r="J153" s="357"/>
      <c r="K153" s="84">
        <v>6000</v>
      </c>
      <c r="L153" s="567">
        <f t="shared" si="24"/>
        <v>6000</v>
      </c>
      <c r="M153" s="496">
        <v>6000</v>
      </c>
      <c r="N153" s="496">
        <v>1114.74</v>
      </c>
      <c r="O153" s="848">
        <f>N153/M153</f>
        <v>0.18579000000000001</v>
      </c>
      <c r="P153" s="770" t="s">
        <v>395</v>
      </c>
      <c r="Q153" s="654"/>
    </row>
    <row r="154" spans="1:243" s="356" customFormat="1" ht="66" customHeight="1">
      <c r="A154" s="636"/>
      <c r="B154" s="114"/>
      <c r="C154" s="87">
        <v>5</v>
      </c>
      <c r="D154" s="136"/>
      <c r="E154" s="138" t="s">
        <v>114</v>
      </c>
      <c r="F154" s="497"/>
      <c r="G154" s="357"/>
      <c r="H154" s="357"/>
      <c r="I154" s="357"/>
      <c r="J154" s="357"/>
      <c r="K154" s="498">
        <v>4000</v>
      </c>
      <c r="L154" s="567">
        <f t="shared" si="24"/>
        <v>4000</v>
      </c>
      <c r="M154" s="496">
        <v>4000</v>
      </c>
      <c r="N154" s="496">
        <v>0</v>
      </c>
      <c r="O154" s="848">
        <v>0</v>
      </c>
      <c r="P154" s="770" t="s">
        <v>395</v>
      </c>
      <c r="Q154" s="654"/>
    </row>
    <row r="155" spans="1:243" s="356" customFormat="1" ht="66" customHeight="1">
      <c r="A155" s="636"/>
      <c r="B155" s="114"/>
      <c r="C155" s="87">
        <v>6</v>
      </c>
      <c r="D155" s="136"/>
      <c r="E155" s="138" t="s">
        <v>113</v>
      </c>
      <c r="F155" s="497"/>
      <c r="G155" s="357"/>
      <c r="H155" s="357"/>
      <c r="I155" s="357"/>
      <c r="J155" s="357"/>
      <c r="K155" s="498">
        <v>1000</v>
      </c>
      <c r="L155" s="567">
        <f t="shared" si="24"/>
        <v>1000</v>
      </c>
      <c r="M155" s="496">
        <v>1000</v>
      </c>
      <c r="N155" s="496">
        <v>0</v>
      </c>
      <c r="O155" s="848">
        <v>0</v>
      </c>
      <c r="P155" s="770" t="s">
        <v>395</v>
      </c>
      <c r="Q155" s="654"/>
    </row>
    <row r="156" spans="1:243" s="356" customFormat="1" ht="84" customHeight="1">
      <c r="A156" s="387"/>
      <c r="B156" s="114"/>
      <c r="C156" s="87">
        <v>7</v>
      </c>
      <c r="D156" s="136"/>
      <c r="E156" s="138" t="s">
        <v>159</v>
      </c>
      <c r="F156" s="497"/>
      <c r="G156" s="357"/>
      <c r="H156" s="357"/>
      <c r="I156" s="357"/>
      <c r="J156" s="357"/>
      <c r="K156" s="498">
        <v>1200</v>
      </c>
      <c r="L156" s="567">
        <f t="shared" si="24"/>
        <v>1200</v>
      </c>
      <c r="M156" s="496">
        <v>1200</v>
      </c>
      <c r="N156" s="496">
        <v>0</v>
      </c>
      <c r="O156" s="848">
        <v>0</v>
      </c>
      <c r="P156" s="770" t="s">
        <v>395</v>
      </c>
      <c r="Q156" s="654"/>
    </row>
    <row r="157" spans="1:243" s="356" customFormat="1" ht="66" customHeight="1">
      <c r="A157" s="387"/>
      <c r="B157" s="393"/>
      <c r="C157" s="87">
        <v>8</v>
      </c>
      <c r="D157" s="136"/>
      <c r="E157" s="138" t="s">
        <v>112</v>
      </c>
      <c r="F157" s="497"/>
      <c r="G157" s="357"/>
      <c r="H157" s="357"/>
      <c r="I157" s="357"/>
      <c r="J157" s="357"/>
      <c r="K157" s="498">
        <v>1000</v>
      </c>
      <c r="L157" s="84">
        <f t="shared" si="24"/>
        <v>1000</v>
      </c>
      <c r="M157" s="84">
        <v>1000</v>
      </c>
      <c r="N157" s="84">
        <v>0</v>
      </c>
      <c r="O157" s="838">
        <v>0</v>
      </c>
      <c r="P157" s="770" t="s">
        <v>395</v>
      </c>
      <c r="Q157" s="654"/>
    </row>
    <row r="158" spans="1:243" s="356" customFormat="1" ht="66" customHeight="1">
      <c r="A158" s="387"/>
      <c r="B158" s="393"/>
      <c r="C158" s="23">
        <v>9</v>
      </c>
      <c r="D158" s="130"/>
      <c r="E158" s="131" t="s">
        <v>214</v>
      </c>
      <c r="F158" s="614"/>
      <c r="G158" s="466"/>
      <c r="H158" s="466"/>
      <c r="I158" s="466"/>
      <c r="J158" s="466"/>
      <c r="K158" s="615">
        <v>900</v>
      </c>
      <c r="L158" s="413">
        <f t="shared" si="24"/>
        <v>900</v>
      </c>
      <c r="M158" s="413">
        <v>900</v>
      </c>
      <c r="N158" s="413">
        <v>553.5</v>
      </c>
      <c r="O158" s="842">
        <f>N158/M158</f>
        <v>0.61499999999999999</v>
      </c>
      <c r="P158" s="770" t="s">
        <v>395</v>
      </c>
      <c r="Q158" s="654"/>
    </row>
    <row r="159" spans="1:243" s="76" customFormat="1" ht="49.5" customHeight="1">
      <c r="A159" s="573"/>
      <c r="B159" s="75">
        <v>75023</v>
      </c>
      <c r="C159" s="74"/>
      <c r="D159" s="73"/>
      <c r="E159" s="72" t="s">
        <v>111</v>
      </c>
      <c r="F159" s="92">
        <f t="shared" ref="F159:K159" si="25">F160</f>
        <v>0</v>
      </c>
      <c r="G159" s="92">
        <f t="shared" si="25"/>
        <v>0</v>
      </c>
      <c r="H159" s="92">
        <f t="shared" si="25"/>
        <v>0</v>
      </c>
      <c r="I159" s="92">
        <f t="shared" si="25"/>
        <v>0</v>
      </c>
      <c r="J159" s="92">
        <f t="shared" si="25"/>
        <v>0</v>
      </c>
      <c r="K159" s="92" t="e">
        <f t="shared" si="25"/>
        <v>#REF!</v>
      </c>
      <c r="L159" s="92">
        <f>L160</f>
        <v>5739792</v>
      </c>
      <c r="M159" s="92">
        <f>M160</f>
        <v>5768183</v>
      </c>
      <c r="N159" s="92">
        <f>N160</f>
        <v>2664914.0699999994</v>
      </c>
      <c r="O159" s="755">
        <f>N159/M159</f>
        <v>0.46200234458580791</v>
      </c>
      <c r="P159" s="764" t="s">
        <v>395</v>
      </c>
      <c r="Q159" s="650"/>
      <c r="II159" s="76" t="e">
        <f>SUM(A159:IH159)</f>
        <v>#REF!</v>
      </c>
    </row>
    <row r="160" spans="1:243" s="139" customFormat="1" ht="67.5" customHeight="1">
      <c r="A160" s="555"/>
      <c r="B160" s="119"/>
      <c r="C160" s="60"/>
      <c r="D160" s="93"/>
      <c r="E160" s="118" t="s">
        <v>110</v>
      </c>
      <c r="F160" s="184"/>
      <c r="G160" s="184"/>
      <c r="H160" s="184"/>
      <c r="I160" s="184"/>
      <c r="J160" s="184"/>
      <c r="K160" s="184" t="e">
        <f>K161+K169</f>
        <v>#REF!</v>
      </c>
      <c r="L160" s="184">
        <f>L161+L169</f>
        <v>5739792</v>
      </c>
      <c r="M160" s="184">
        <f>M161+M169</f>
        <v>5768183</v>
      </c>
      <c r="N160" s="184">
        <f>N161+N169</f>
        <v>2664914.0699999994</v>
      </c>
      <c r="O160" s="849">
        <f>N160/M160</f>
        <v>0.46200234458580791</v>
      </c>
      <c r="P160" s="774" t="s">
        <v>395</v>
      </c>
      <c r="Q160" s="658"/>
    </row>
    <row r="161" spans="1:18" s="100" customFormat="1" ht="51.75" customHeight="1">
      <c r="A161" s="555"/>
      <c r="B161" s="420"/>
      <c r="C161" s="394" t="s">
        <v>21</v>
      </c>
      <c r="D161" s="425"/>
      <c r="E161" s="305" t="s">
        <v>376</v>
      </c>
      <c r="F161" s="395"/>
      <c r="G161" s="421"/>
      <c r="H161" s="421"/>
      <c r="I161" s="421"/>
      <c r="J161" s="421"/>
      <c r="K161" s="421" t="e">
        <f>#REF!+#REF!+#REF!+#REF!+#REF!+#REF!</f>
        <v>#REF!</v>
      </c>
      <c r="L161" s="421">
        <f>SUM(L163:L168)</f>
        <v>5067792</v>
      </c>
      <c r="M161" s="421">
        <f>SUM(M163:M168)</f>
        <v>5057792</v>
      </c>
      <c r="N161" s="421">
        <f>SUM(N163:N168)</f>
        <v>2360122.7699999996</v>
      </c>
      <c r="O161" s="850">
        <f>N161/M161</f>
        <v>0.46663104572113673</v>
      </c>
      <c r="P161" s="775" t="s">
        <v>395</v>
      </c>
      <c r="Q161" s="659"/>
    </row>
    <row r="162" spans="1:18" s="359" customFormat="1" ht="30" customHeight="1">
      <c r="A162" s="809"/>
      <c r="B162" s="810"/>
      <c r="C162" s="361"/>
      <c r="D162" s="263"/>
      <c r="E162" s="360" t="s">
        <v>13</v>
      </c>
      <c r="F162" s="748"/>
      <c r="G162" s="690"/>
      <c r="H162" s="690"/>
      <c r="I162" s="690"/>
      <c r="J162" s="690"/>
      <c r="K162" s="690"/>
      <c r="L162" s="690"/>
      <c r="M162" s="690"/>
      <c r="N162" s="690"/>
      <c r="O162" s="811"/>
      <c r="P162" s="656"/>
      <c r="Q162" s="812"/>
      <c r="R162" s="656"/>
    </row>
    <row r="163" spans="1:18" s="814" customFormat="1" ht="48" customHeight="1">
      <c r="A163" s="809"/>
      <c r="B163" s="810"/>
      <c r="C163" s="813"/>
      <c r="D163" s="263"/>
      <c r="E163" s="418" t="s">
        <v>236</v>
      </c>
      <c r="F163" s="748">
        <v>143757</v>
      </c>
      <c r="G163" s="690"/>
      <c r="H163" s="690"/>
      <c r="I163" s="690"/>
      <c r="J163" s="690"/>
      <c r="K163" s="690">
        <v>206723</v>
      </c>
      <c r="L163" s="690">
        <v>3906541</v>
      </c>
      <c r="M163" s="690">
        <f>3906541-5000</f>
        <v>3901541</v>
      </c>
      <c r="N163" s="690">
        <v>1658780.96</v>
      </c>
      <c r="O163" s="811">
        <f>N163/M163</f>
        <v>0.42516045839323485</v>
      </c>
      <c r="P163" s="656" t="s">
        <v>395</v>
      </c>
      <c r="Q163" s="812"/>
      <c r="R163" s="656"/>
    </row>
    <row r="164" spans="1:18" s="814" customFormat="1" ht="48" customHeight="1">
      <c r="A164" s="809"/>
      <c r="B164" s="810"/>
      <c r="C164" s="813"/>
      <c r="D164" s="263"/>
      <c r="E164" s="418" t="s">
        <v>122</v>
      </c>
      <c r="F164" s="748">
        <v>28050</v>
      </c>
      <c r="G164" s="690"/>
      <c r="H164" s="690"/>
      <c r="I164" s="690"/>
      <c r="J164" s="690"/>
      <c r="K164" s="690">
        <v>0</v>
      </c>
      <c r="L164" s="690">
        <v>291439</v>
      </c>
      <c r="M164" s="690">
        <v>291439</v>
      </c>
      <c r="N164" s="690">
        <v>277741.65999999997</v>
      </c>
      <c r="O164" s="811">
        <f t="shared" ref="O164:O168" si="26">N164/M164</f>
        <v>0.95300100535618082</v>
      </c>
      <c r="P164" s="656" t="s">
        <v>395</v>
      </c>
      <c r="Q164" s="812"/>
      <c r="R164" s="656"/>
    </row>
    <row r="165" spans="1:18" s="814" customFormat="1" ht="48" customHeight="1">
      <c r="A165" s="809"/>
      <c r="B165" s="810"/>
      <c r="C165" s="813"/>
      <c r="D165" s="263"/>
      <c r="E165" s="418" t="s">
        <v>121</v>
      </c>
      <c r="F165" s="748">
        <v>29688</v>
      </c>
      <c r="G165" s="690"/>
      <c r="H165" s="690"/>
      <c r="I165" s="690"/>
      <c r="J165" s="690"/>
      <c r="K165" s="690">
        <v>35722</v>
      </c>
      <c r="L165" s="690">
        <v>665069</v>
      </c>
      <c r="M165" s="690">
        <f>665069+855</f>
        <v>665924</v>
      </c>
      <c r="N165" s="690">
        <v>325055.34999999998</v>
      </c>
      <c r="O165" s="811">
        <f t="shared" si="26"/>
        <v>0.48812679825325411</v>
      </c>
      <c r="P165" s="656" t="s">
        <v>395</v>
      </c>
      <c r="Q165" s="812"/>
      <c r="R165" s="656"/>
    </row>
    <row r="166" spans="1:18" s="814" customFormat="1" ht="48" customHeight="1">
      <c r="A166" s="809"/>
      <c r="B166" s="810"/>
      <c r="C166" s="813"/>
      <c r="D166" s="263"/>
      <c r="E166" s="418" t="s">
        <v>120</v>
      </c>
      <c r="F166" s="748">
        <v>4210</v>
      </c>
      <c r="G166" s="690"/>
      <c r="H166" s="690"/>
      <c r="I166" s="690"/>
      <c r="J166" s="690"/>
      <c r="K166" s="690">
        <v>5070</v>
      </c>
      <c r="L166" s="690">
        <v>95344</v>
      </c>
      <c r="M166" s="690">
        <v>95344</v>
      </c>
      <c r="N166" s="690">
        <v>31494.799999999999</v>
      </c>
      <c r="O166" s="811">
        <f t="shared" si="26"/>
        <v>0.33032807518039936</v>
      </c>
      <c r="P166" s="656" t="s">
        <v>395</v>
      </c>
      <c r="Q166" s="812"/>
      <c r="R166" s="656"/>
    </row>
    <row r="167" spans="1:18" s="814" customFormat="1" ht="48" customHeight="1">
      <c r="A167" s="809"/>
      <c r="B167" s="810"/>
      <c r="C167" s="813"/>
      <c r="D167" s="263"/>
      <c r="E167" s="418" t="s">
        <v>374</v>
      </c>
      <c r="F167" s="748">
        <v>9080</v>
      </c>
      <c r="G167" s="690"/>
      <c r="H167" s="690"/>
      <c r="I167" s="690"/>
      <c r="J167" s="690"/>
      <c r="K167" s="690">
        <v>0</v>
      </c>
      <c r="L167" s="690">
        <v>89399</v>
      </c>
      <c r="M167" s="690">
        <v>89399</v>
      </c>
      <c r="N167" s="690">
        <v>67050</v>
      </c>
      <c r="O167" s="811">
        <f t="shared" si="26"/>
        <v>0.75000838935558567</v>
      </c>
      <c r="P167" s="656" t="s">
        <v>395</v>
      </c>
      <c r="Q167" s="812"/>
      <c r="R167" s="656"/>
    </row>
    <row r="168" spans="1:18" s="817" customFormat="1" ht="48" customHeight="1">
      <c r="A168" s="715"/>
      <c r="B168" s="692"/>
      <c r="C168" s="815"/>
      <c r="D168" s="425"/>
      <c r="E168" s="418" t="s">
        <v>375</v>
      </c>
      <c r="F168" s="694"/>
      <c r="G168" s="695"/>
      <c r="H168" s="695"/>
      <c r="I168" s="695"/>
      <c r="J168" s="695"/>
      <c r="K168" s="695">
        <v>20000</v>
      </c>
      <c r="L168" s="707">
        <v>20000</v>
      </c>
      <c r="M168" s="707">
        <v>14145</v>
      </c>
      <c r="N168" s="707">
        <v>0</v>
      </c>
      <c r="O168" s="811">
        <f t="shared" si="26"/>
        <v>0</v>
      </c>
      <c r="P168" s="658" t="s">
        <v>395</v>
      </c>
      <c r="Q168" s="816"/>
      <c r="R168" s="658"/>
    </row>
    <row r="169" spans="1:18" s="298" customFormat="1" ht="54.9" customHeight="1">
      <c r="A169" s="583"/>
      <c r="B169" s="483"/>
      <c r="C169" s="153" t="s">
        <v>52</v>
      </c>
      <c r="D169" s="355"/>
      <c r="E169" s="354" t="s">
        <v>109</v>
      </c>
      <c r="F169" s="499">
        <f>F170+F200+F201+F202+F203+F204+F205+F207</f>
        <v>0</v>
      </c>
      <c r="G169" s="499">
        <f>G170+G200+G201+G202+G203+G204+G205+G207</f>
        <v>0</v>
      </c>
      <c r="H169" s="499">
        <f>H170+H200+H201+H202+H203+H204+H205+H207</f>
        <v>0</v>
      </c>
      <c r="I169" s="499">
        <f>I170+I200+I201+I202+I203+I204+I205+I207</f>
        <v>0</v>
      </c>
      <c r="J169" s="499">
        <f>J170+J200+J201+J202+J203+J204+J205+J207</f>
        <v>0</v>
      </c>
      <c r="K169" s="499">
        <f>K170+K198+K199+K200+K201+K202+K203+K204+K205+K206+K207</f>
        <v>637000</v>
      </c>
      <c r="L169" s="386">
        <f>L170+L198+L199+L200+L201+L202+L203+L204+L205+L206+L207</f>
        <v>672000</v>
      </c>
      <c r="M169" s="386">
        <f>M170+M198+M199+M200+M201+M202+M203+M204+M205+M206+M207</f>
        <v>710391</v>
      </c>
      <c r="N169" s="386">
        <f>N170+N198+N199+N200+N201+N202+N203+N204+N205+N206+N207</f>
        <v>304791.3</v>
      </c>
      <c r="O169" s="851">
        <f>N169/M169</f>
        <v>0.42904724299716634</v>
      </c>
      <c r="P169" s="773" t="s">
        <v>395</v>
      </c>
      <c r="Q169" s="657"/>
    </row>
    <row r="170" spans="1:18" s="100" customFormat="1" ht="54.9" customHeight="1">
      <c r="A170" s="473"/>
      <c r="B170" s="408"/>
      <c r="C170" s="537">
        <v>1</v>
      </c>
      <c r="D170" s="538"/>
      <c r="E170" s="539" t="s">
        <v>108</v>
      </c>
      <c r="F170" s="540"/>
      <c r="G170" s="540"/>
      <c r="H170" s="540"/>
      <c r="I170" s="540"/>
      <c r="J170" s="540"/>
      <c r="K170" s="540">
        <v>450000</v>
      </c>
      <c r="L170" s="540">
        <f t="shared" ref="L170" si="27">SUM(F170:K170)</f>
        <v>450000</v>
      </c>
      <c r="M170" s="540">
        <f>478391+5000</f>
        <v>483391</v>
      </c>
      <c r="N170" s="540">
        <f>SUM(N172:N197)</f>
        <v>201619.93</v>
      </c>
      <c r="O170" s="852">
        <f>N170/M170</f>
        <v>0.41709491902000656</v>
      </c>
      <c r="P170" s="775" t="s">
        <v>395</v>
      </c>
      <c r="Q170" s="659"/>
    </row>
    <row r="171" spans="1:18" s="104" customFormat="1" ht="45.75" customHeight="1">
      <c r="A171" s="407"/>
      <c r="B171" s="349"/>
      <c r="C171" s="353"/>
      <c r="D171" s="352"/>
      <c r="E171" s="1341" t="s">
        <v>86</v>
      </c>
      <c r="F171" s="1341"/>
      <c r="G171" s="1341"/>
      <c r="H171" s="1341"/>
      <c r="I171" s="1341"/>
      <c r="J171" s="1341"/>
      <c r="K171" s="1341"/>
      <c r="L171" s="1341"/>
      <c r="M171" s="1342"/>
      <c r="N171" s="744"/>
      <c r="O171" s="853"/>
      <c r="P171" s="776"/>
      <c r="Q171" s="660"/>
    </row>
    <row r="172" spans="1:18" s="103" customFormat="1" ht="37.799999999999997">
      <c r="A172" s="391"/>
      <c r="B172" s="107"/>
      <c r="C172" s="23"/>
      <c r="D172" s="263" t="s">
        <v>0</v>
      </c>
      <c r="E172" s="1258" t="s">
        <v>175</v>
      </c>
      <c r="F172" s="1258"/>
      <c r="G172" s="1258"/>
      <c r="H172" s="1258"/>
      <c r="I172" s="1258"/>
      <c r="J172" s="1258"/>
      <c r="K172" s="1258"/>
      <c r="L172" s="1258"/>
      <c r="M172" s="1259"/>
      <c r="N172" s="912">
        <v>26794.9</v>
      </c>
      <c r="O172" s="854"/>
      <c r="P172" s="768"/>
      <c r="Q172" s="655"/>
    </row>
    <row r="173" spans="1:18" s="103" customFormat="1" ht="37.799999999999997">
      <c r="A173" s="391"/>
      <c r="B173" s="107"/>
      <c r="C173" s="23"/>
      <c r="D173" s="263" t="s">
        <v>0</v>
      </c>
      <c r="E173" s="1258" t="s">
        <v>176</v>
      </c>
      <c r="F173" s="1258"/>
      <c r="G173" s="1258"/>
      <c r="H173" s="1258"/>
      <c r="I173" s="1258"/>
      <c r="J173" s="1258"/>
      <c r="K173" s="1258"/>
      <c r="L173" s="1258"/>
      <c r="M173" s="1259"/>
      <c r="N173" s="912">
        <v>28911.85</v>
      </c>
      <c r="O173" s="854"/>
      <c r="P173" s="768"/>
      <c r="Q173" s="655"/>
    </row>
    <row r="174" spans="1:18" s="103" customFormat="1" ht="60" customHeight="1">
      <c r="A174" s="391"/>
      <c r="B174" s="107"/>
      <c r="C174" s="23"/>
      <c r="D174" s="263" t="s">
        <v>0</v>
      </c>
      <c r="E174" s="1258" t="s">
        <v>177</v>
      </c>
      <c r="F174" s="1258"/>
      <c r="G174" s="1258"/>
      <c r="H174" s="1258"/>
      <c r="I174" s="1258"/>
      <c r="J174" s="1258"/>
      <c r="K174" s="1258"/>
      <c r="L174" s="1258"/>
      <c r="M174" s="1259"/>
      <c r="N174" s="912">
        <v>2865.4</v>
      </c>
      <c r="O174" s="854"/>
      <c r="P174" s="768"/>
      <c r="Q174" s="655"/>
    </row>
    <row r="175" spans="1:18" s="427" customFormat="1" ht="57.75" customHeight="1">
      <c r="A175" s="391"/>
      <c r="B175" s="107"/>
      <c r="C175" s="23"/>
      <c r="D175" s="263" t="s">
        <v>0</v>
      </c>
      <c r="E175" s="1258" t="s">
        <v>304</v>
      </c>
      <c r="F175" s="1258"/>
      <c r="G175" s="1258"/>
      <c r="H175" s="1258"/>
      <c r="I175" s="1258"/>
      <c r="J175" s="1258"/>
      <c r="K175" s="1258"/>
      <c r="L175" s="1258"/>
      <c r="M175" s="1259"/>
      <c r="N175" s="912">
        <v>4100</v>
      </c>
      <c r="O175" s="854"/>
      <c r="P175" s="768"/>
      <c r="Q175" s="655"/>
    </row>
    <row r="176" spans="1:18" s="427" customFormat="1" ht="37.799999999999997">
      <c r="A176" s="391"/>
      <c r="B176" s="107"/>
      <c r="C176" s="23"/>
      <c r="D176" s="263" t="s">
        <v>0</v>
      </c>
      <c r="E176" s="1258" t="s">
        <v>257</v>
      </c>
      <c r="F176" s="1258"/>
      <c r="G176" s="1258"/>
      <c r="H176" s="1258"/>
      <c r="I176" s="1258"/>
      <c r="J176" s="1258"/>
      <c r="K176" s="1258"/>
      <c r="L176" s="1258"/>
      <c r="M176" s="1259"/>
      <c r="N176" s="912">
        <v>2870.88</v>
      </c>
      <c r="O176" s="854"/>
      <c r="P176" s="768"/>
      <c r="Q176" s="655"/>
    </row>
    <row r="177" spans="1:17" s="427" customFormat="1" ht="37.799999999999997">
      <c r="A177" s="391"/>
      <c r="B177" s="107"/>
      <c r="C177" s="23"/>
      <c r="D177" s="263" t="s">
        <v>0</v>
      </c>
      <c r="E177" s="1258" t="s">
        <v>178</v>
      </c>
      <c r="F177" s="1258"/>
      <c r="G177" s="1258"/>
      <c r="H177" s="1258"/>
      <c r="I177" s="1258"/>
      <c r="J177" s="1258"/>
      <c r="K177" s="1258"/>
      <c r="L177" s="1258"/>
      <c r="M177" s="1259"/>
      <c r="N177" s="912">
        <v>2971.65</v>
      </c>
      <c r="O177" s="854"/>
      <c r="P177" s="768"/>
      <c r="Q177" s="655"/>
    </row>
    <row r="178" spans="1:17" s="427" customFormat="1" ht="95.4" customHeight="1">
      <c r="A178" s="391"/>
      <c r="B178" s="107"/>
      <c r="C178" s="23"/>
      <c r="D178" s="263" t="s">
        <v>0</v>
      </c>
      <c r="E178" s="1258" t="s">
        <v>342</v>
      </c>
      <c r="F178" s="1258"/>
      <c r="G178" s="1258"/>
      <c r="H178" s="1258"/>
      <c r="I178" s="1258"/>
      <c r="J178" s="1258"/>
      <c r="K178" s="1258"/>
      <c r="L178" s="1258"/>
      <c r="M178" s="1259"/>
      <c r="N178" s="912">
        <v>14783.99</v>
      </c>
      <c r="O178" s="854"/>
      <c r="P178" s="768"/>
      <c r="Q178" s="655"/>
    </row>
    <row r="179" spans="1:17" s="427" customFormat="1" ht="63" customHeight="1">
      <c r="A179" s="391"/>
      <c r="B179" s="107"/>
      <c r="C179" s="23"/>
      <c r="D179" s="263" t="s">
        <v>0</v>
      </c>
      <c r="E179" s="1258" t="s">
        <v>401</v>
      </c>
      <c r="F179" s="1258"/>
      <c r="G179" s="1258"/>
      <c r="H179" s="1258"/>
      <c r="I179" s="1258"/>
      <c r="J179" s="1258"/>
      <c r="K179" s="1258"/>
      <c r="L179" s="1258"/>
      <c r="M179" s="1259"/>
      <c r="N179" s="912">
        <v>3416.01</v>
      </c>
      <c r="O179" s="854"/>
      <c r="P179" s="768"/>
      <c r="Q179" s="655"/>
    </row>
    <row r="180" spans="1:17" s="427" customFormat="1" ht="37.799999999999997">
      <c r="A180" s="391"/>
      <c r="B180" s="107"/>
      <c r="C180" s="23"/>
      <c r="D180" s="263" t="s">
        <v>0</v>
      </c>
      <c r="E180" s="1258" t="s">
        <v>402</v>
      </c>
      <c r="F180" s="1258"/>
      <c r="G180" s="1258"/>
      <c r="H180" s="1258"/>
      <c r="I180" s="1258"/>
      <c r="J180" s="1258"/>
      <c r="K180" s="1258"/>
      <c r="L180" s="1258"/>
      <c r="M180" s="1259"/>
      <c r="N180" s="912">
        <v>1962</v>
      </c>
      <c r="O180" s="854"/>
      <c r="P180" s="768"/>
      <c r="Q180" s="655"/>
    </row>
    <row r="181" spans="1:17" s="427" customFormat="1" ht="37.799999999999997">
      <c r="A181" s="391"/>
      <c r="B181" s="107"/>
      <c r="C181" s="23"/>
      <c r="D181" s="263" t="s">
        <v>0</v>
      </c>
      <c r="E181" s="1258" t="s">
        <v>258</v>
      </c>
      <c r="F181" s="1258"/>
      <c r="G181" s="1258"/>
      <c r="H181" s="1258"/>
      <c r="I181" s="1258"/>
      <c r="J181" s="1258"/>
      <c r="K181" s="1258"/>
      <c r="L181" s="1258"/>
      <c r="M181" s="1259"/>
      <c r="N181" s="912">
        <v>9798.1200000000008</v>
      </c>
      <c r="O181" s="854"/>
      <c r="P181" s="768"/>
      <c r="Q181" s="655"/>
    </row>
    <row r="182" spans="1:17" s="427" customFormat="1" ht="37.799999999999997">
      <c r="A182" s="391"/>
      <c r="B182" s="107"/>
      <c r="C182" s="23"/>
      <c r="D182" s="263" t="s">
        <v>0</v>
      </c>
      <c r="E182" s="1258" t="s">
        <v>403</v>
      </c>
      <c r="F182" s="1258"/>
      <c r="G182" s="1258"/>
      <c r="H182" s="1258"/>
      <c r="I182" s="1258"/>
      <c r="J182" s="1258"/>
      <c r="K182" s="1258"/>
      <c r="L182" s="1258"/>
      <c r="M182" s="1259"/>
      <c r="N182" s="912">
        <v>7311.05</v>
      </c>
      <c r="O182" s="854"/>
      <c r="P182" s="768"/>
      <c r="Q182" s="655"/>
    </row>
    <row r="183" spans="1:17" s="427" customFormat="1" ht="37.799999999999997">
      <c r="A183" s="391"/>
      <c r="B183" s="107"/>
      <c r="C183" s="23"/>
      <c r="D183" s="263" t="s">
        <v>0</v>
      </c>
      <c r="E183" s="1258" t="s">
        <v>202</v>
      </c>
      <c r="F183" s="1258"/>
      <c r="G183" s="1258"/>
      <c r="H183" s="1258"/>
      <c r="I183" s="1258"/>
      <c r="J183" s="1258"/>
      <c r="K183" s="1258"/>
      <c r="L183" s="1258"/>
      <c r="M183" s="1259"/>
      <c r="N183" s="912">
        <v>529.1</v>
      </c>
      <c r="O183" s="854"/>
      <c r="P183" s="768"/>
      <c r="Q183" s="655"/>
    </row>
    <row r="184" spans="1:17" s="427" customFormat="1" ht="37.799999999999997">
      <c r="A184" s="391"/>
      <c r="B184" s="107"/>
      <c r="C184" s="23"/>
      <c r="D184" s="263" t="s">
        <v>0</v>
      </c>
      <c r="E184" s="1258" t="s">
        <v>259</v>
      </c>
      <c r="F184" s="1258"/>
      <c r="G184" s="1258"/>
      <c r="H184" s="1258"/>
      <c r="I184" s="1258"/>
      <c r="J184" s="1258"/>
      <c r="K184" s="1258"/>
      <c r="L184" s="1258"/>
      <c r="M184" s="1259"/>
      <c r="N184" s="912">
        <v>670.24</v>
      </c>
      <c r="O184" s="854"/>
      <c r="P184" s="768"/>
      <c r="Q184" s="655"/>
    </row>
    <row r="185" spans="1:17" s="427" customFormat="1" ht="37.799999999999997">
      <c r="A185" s="391"/>
      <c r="B185" s="107"/>
      <c r="C185" s="23"/>
      <c r="D185" s="263" t="s">
        <v>0</v>
      </c>
      <c r="E185" s="1258" t="s">
        <v>343</v>
      </c>
      <c r="F185" s="1258"/>
      <c r="G185" s="1258"/>
      <c r="H185" s="1258"/>
      <c r="I185" s="1258"/>
      <c r="J185" s="1258"/>
      <c r="K185" s="1258"/>
      <c r="L185" s="1258"/>
      <c r="M185" s="1259"/>
      <c r="N185" s="912">
        <v>4997.13</v>
      </c>
      <c r="O185" s="854"/>
      <c r="P185" s="768"/>
      <c r="Q185" s="655"/>
    </row>
    <row r="186" spans="1:17" s="427" customFormat="1" ht="37.799999999999997">
      <c r="A186" s="391"/>
      <c r="B186" s="107"/>
      <c r="C186" s="23"/>
      <c r="D186" s="263" t="s">
        <v>0</v>
      </c>
      <c r="E186" s="1258" t="s">
        <v>408</v>
      </c>
      <c r="F186" s="1258"/>
      <c r="G186" s="1258"/>
      <c r="H186" s="1258"/>
      <c r="I186" s="1258"/>
      <c r="J186" s="1258"/>
      <c r="K186" s="1258"/>
      <c r="L186" s="1258"/>
      <c r="M186" s="1259"/>
      <c r="N186" s="912">
        <v>5052.82</v>
      </c>
      <c r="O186" s="854"/>
      <c r="P186" s="768"/>
      <c r="Q186" s="655"/>
    </row>
    <row r="187" spans="1:17" s="427" customFormat="1" ht="37.799999999999997">
      <c r="A187" s="391"/>
      <c r="B187" s="107"/>
      <c r="C187" s="23"/>
      <c r="D187" s="263" t="s">
        <v>0</v>
      </c>
      <c r="E187" s="1258" t="s">
        <v>179</v>
      </c>
      <c r="F187" s="1258"/>
      <c r="G187" s="1258"/>
      <c r="H187" s="1258"/>
      <c r="I187" s="1258"/>
      <c r="J187" s="1258"/>
      <c r="K187" s="1258"/>
      <c r="L187" s="1258"/>
      <c r="M187" s="1259"/>
      <c r="N187" s="912">
        <v>17593.95</v>
      </c>
      <c r="O187" s="854"/>
      <c r="P187" s="768"/>
      <c r="Q187" s="655"/>
    </row>
    <row r="188" spans="1:17" s="427" customFormat="1" ht="37.799999999999997">
      <c r="A188" s="391"/>
      <c r="B188" s="107"/>
      <c r="C188" s="23"/>
      <c r="D188" s="263" t="s">
        <v>0</v>
      </c>
      <c r="E188" s="1258" t="s">
        <v>180</v>
      </c>
      <c r="F188" s="1258"/>
      <c r="G188" s="1258"/>
      <c r="H188" s="1258"/>
      <c r="I188" s="1258"/>
      <c r="J188" s="1258"/>
      <c r="K188" s="1258"/>
      <c r="L188" s="1258"/>
      <c r="M188" s="1259"/>
      <c r="N188" s="912">
        <v>688.27</v>
      </c>
      <c r="O188" s="854"/>
      <c r="P188" s="768"/>
      <c r="Q188" s="655"/>
    </row>
    <row r="189" spans="1:17" s="427" customFormat="1" ht="37.799999999999997">
      <c r="A189" s="391"/>
      <c r="B189" s="107"/>
      <c r="C189" s="23"/>
      <c r="D189" s="263" t="s">
        <v>0</v>
      </c>
      <c r="E189" s="1258" t="s">
        <v>181</v>
      </c>
      <c r="F189" s="1258"/>
      <c r="G189" s="1258"/>
      <c r="H189" s="1258"/>
      <c r="I189" s="1258"/>
      <c r="J189" s="1258"/>
      <c r="K189" s="1258"/>
      <c r="L189" s="1258"/>
      <c r="M189" s="1259"/>
      <c r="N189" s="912">
        <v>8957.2199999999993</v>
      </c>
      <c r="O189" s="854"/>
      <c r="P189" s="768"/>
      <c r="Q189" s="655"/>
    </row>
    <row r="190" spans="1:17" s="427" customFormat="1" ht="37.799999999999997">
      <c r="A190" s="391"/>
      <c r="B190" s="107"/>
      <c r="C190" s="23"/>
      <c r="D190" s="263" t="s">
        <v>0</v>
      </c>
      <c r="E190" s="1258" t="s">
        <v>404</v>
      </c>
      <c r="F190" s="1258"/>
      <c r="G190" s="1258"/>
      <c r="H190" s="1258"/>
      <c r="I190" s="1258"/>
      <c r="J190" s="1258"/>
      <c r="K190" s="1258"/>
      <c r="L190" s="1258"/>
      <c r="M190" s="1259"/>
      <c r="N190" s="912">
        <v>35288.15</v>
      </c>
      <c r="O190" s="854"/>
      <c r="P190" s="768"/>
      <c r="Q190" s="655"/>
    </row>
    <row r="191" spans="1:17" s="427" customFormat="1" ht="37.799999999999997">
      <c r="A191" s="391"/>
      <c r="B191" s="107"/>
      <c r="C191" s="23"/>
      <c r="D191" s="263" t="s">
        <v>0</v>
      </c>
      <c r="E191" s="1258" t="s">
        <v>182</v>
      </c>
      <c r="F191" s="1258"/>
      <c r="G191" s="1258"/>
      <c r="H191" s="1258"/>
      <c r="I191" s="1258"/>
      <c r="J191" s="1258"/>
      <c r="K191" s="1258"/>
      <c r="L191" s="1258"/>
      <c r="M191" s="1259"/>
      <c r="N191" s="912">
        <v>3715.28</v>
      </c>
      <c r="O191" s="854"/>
      <c r="P191" s="768"/>
      <c r="Q191" s="655"/>
    </row>
    <row r="192" spans="1:17" s="427" customFormat="1" ht="37.799999999999997">
      <c r="A192" s="391"/>
      <c r="B192" s="107"/>
      <c r="C192" s="23"/>
      <c r="D192" s="263" t="s">
        <v>0</v>
      </c>
      <c r="E192" s="1258" t="s">
        <v>405</v>
      </c>
      <c r="F192" s="1258"/>
      <c r="G192" s="1258"/>
      <c r="H192" s="1258"/>
      <c r="I192" s="1258"/>
      <c r="J192" s="1258"/>
      <c r="K192" s="1258"/>
      <c r="L192" s="1258"/>
      <c r="M192" s="1259"/>
      <c r="N192" s="912">
        <v>6984.33</v>
      </c>
      <c r="O192" s="854"/>
      <c r="P192" s="768"/>
      <c r="Q192" s="655"/>
    </row>
    <row r="193" spans="1:17" s="427" customFormat="1" ht="65.400000000000006" customHeight="1">
      <c r="A193" s="391"/>
      <c r="B193" s="107"/>
      <c r="C193" s="23"/>
      <c r="D193" s="263" t="s">
        <v>0</v>
      </c>
      <c r="E193" s="1258" t="s">
        <v>406</v>
      </c>
      <c r="F193" s="1258"/>
      <c r="G193" s="1258"/>
      <c r="H193" s="1258"/>
      <c r="I193" s="1258"/>
      <c r="J193" s="1258"/>
      <c r="K193" s="1258"/>
      <c r="L193" s="1258"/>
      <c r="M193" s="1259"/>
      <c r="N193" s="912">
        <v>2879.93</v>
      </c>
      <c r="O193" s="854"/>
      <c r="P193" s="768"/>
      <c r="Q193" s="655"/>
    </row>
    <row r="194" spans="1:17" s="427" customFormat="1" ht="37.799999999999997">
      <c r="A194" s="391"/>
      <c r="B194" s="107"/>
      <c r="C194" s="23"/>
      <c r="D194" s="263" t="s">
        <v>0</v>
      </c>
      <c r="E194" s="1258" t="s">
        <v>183</v>
      </c>
      <c r="F194" s="1258"/>
      <c r="G194" s="1258"/>
      <c r="H194" s="1258"/>
      <c r="I194" s="1258"/>
      <c r="J194" s="1258"/>
      <c r="K194" s="1258"/>
      <c r="L194" s="1258"/>
      <c r="M194" s="1259"/>
      <c r="N194" s="912">
        <v>8477.66</v>
      </c>
      <c r="O194" s="854"/>
      <c r="P194" s="768"/>
      <c r="Q194" s="655"/>
    </row>
    <row r="195" spans="1:17" s="427" customFormat="1" ht="37.799999999999997">
      <c r="A195" s="391"/>
      <c r="B195" s="107"/>
      <c r="C195" s="23"/>
      <c r="D195" s="263" t="s">
        <v>0</v>
      </c>
      <c r="E195" s="1258" t="s">
        <v>377</v>
      </c>
      <c r="F195" s="1258"/>
      <c r="G195" s="1258"/>
      <c r="H195" s="1258"/>
      <c r="I195" s="1258"/>
      <c r="J195" s="1258"/>
      <c r="K195" s="1258"/>
      <c r="L195" s="1258"/>
      <c r="M195" s="1259"/>
      <c r="N195" s="912">
        <v>0</v>
      </c>
      <c r="O195" s="854"/>
      <c r="P195" s="768"/>
      <c r="Q195" s="655"/>
    </row>
    <row r="196" spans="1:17" s="427" customFormat="1" ht="37.799999999999997">
      <c r="A196" s="391"/>
      <c r="B196" s="107"/>
      <c r="C196" s="23"/>
      <c r="D196" s="263" t="s">
        <v>0</v>
      </c>
      <c r="E196" s="1258" t="s">
        <v>378</v>
      </c>
      <c r="F196" s="1258"/>
      <c r="G196" s="1258"/>
      <c r="H196" s="1258"/>
      <c r="I196" s="1258"/>
      <c r="J196" s="1258"/>
      <c r="K196" s="1258"/>
      <c r="L196" s="1258"/>
      <c r="M196" s="1259"/>
      <c r="N196" s="912">
        <v>0</v>
      </c>
      <c r="O196" s="854"/>
      <c r="P196" s="768"/>
      <c r="Q196" s="655"/>
    </row>
    <row r="197" spans="1:17" s="427" customFormat="1" ht="37.799999999999997">
      <c r="A197" s="391"/>
      <c r="B197" s="392"/>
      <c r="C197" s="23"/>
      <c r="D197" s="348" t="s">
        <v>0</v>
      </c>
      <c r="E197" s="1343" t="s">
        <v>407</v>
      </c>
      <c r="F197" s="1343"/>
      <c r="G197" s="1343"/>
      <c r="H197" s="1343"/>
      <c r="I197" s="1343"/>
      <c r="J197" s="1343"/>
      <c r="K197" s="1343"/>
      <c r="L197" s="1343"/>
      <c r="M197" s="1344"/>
      <c r="N197" s="610">
        <v>0</v>
      </c>
      <c r="O197" s="913"/>
      <c r="P197" s="768"/>
      <c r="Q197" s="655"/>
    </row>
    <row r="198" spans="1:17" s="76" customFormat="1" ht="90" customHeight="1">
      <c r="A198" s="573"/>
      <c r="B198" s="167"/>
      <c r="C198" s="351">
        <v>2</v>
      </c>
      <c r="D198" s="350"/>
      <c r="E198" s="85" t="s">
        <v>344</v>
      </c>
      <c r="F198" s="219"/>
      <c r="G198" s="84"/>
      <c r="H198" s="84"/>
      <c r="I198" s="84"/>
      <c r="J198" s="84"/>
      <c r="K198" s="84">
        <v>25000</v>
      </c>
      <c r="L198" s="84">
        <f>K198</f>
        <v>25000</v>
      </c>
      <c r="M198" s="84">
        <f>L198</f>
        <v>25000</v>
      </c>
      <c r="N198" s="84">
        <v>16451.599999999999</v>
      </c>
      <c r="O198" s="838">
        <f t="shared" ref="O198:O209" si="28">N198/M198</f>
        <v>0.65806399999999998</v>
      </c>
      <c r="P198" s="764" t="s">
        <v>395</v>
      </c>
      <c r="Q198" s="650"/>
    </row>
    <row r="199" spans="1:17" s="76" customFormat="1" ht="69.75" customHeight="1">
      <c r="A199" s="573"/>
      <c r="B199" s="167"/>
      <c r="C199" s="351">
        <v>3</v>
      </c>
      <c r="D199" s="350"/>
      <c r="E199" s="85" t="s">
        <v>184</v>
      </c>
      <c r="F199" s="219"/>
      <c r="G199" s="84"/>
      <c r="H199" s="84"/>
      <c r="I199" s="84"/>
      <c r="J199" s="84"/>
      <c r="K199" s="84">
        <f>9000</f>
        <v>9000</v>
      </c>
      <c r="L199" s="84">
        <f>9000+35000</f>
        <v>44000</v>
      </c>
      <c r="M199" s="84">
        <f>9000+35000+5000</f>
        <v>49000</v>
      </c>
      <c r="N199" s="84">
        <f>3600+30000+200</f>
        <v>33800</v>
      </c>
      <c r="O199" s="838">
        <f t="shared" si="28"/>
        <v>0.68979591836734699</v>
      </c>
      <c r="P199" s="764" t="s">
        <v>395</v>
      </c>
      <c r="Q199" s="914" t="s">
        <v>409</v>
      </c>
    </row>
    <row r="200" spans="1:17" s="76" customFormat="1" ht="69.75" customHeight="1">
      <c r="A200" s="573"/>
      <c r="B200" s="167"/>
      <c r="C200" s="351">
        <v>4</v>
      </c>
      <c r="D200" s="350"/>
      <c r="E200" s="85" t="s">
        <v>107</v>
      </c>
      <c r="F200" s="219"/>
      <c r="G200" s="84"/>
      <c r="H200" s="84"/>
      <c r="I200" s="84"/>
      <c r="J200" s="84"/>
      <c r="K200" s="84">
        <v>25000</v>
      </c>
      <c r="L200" s="84">
        <f t="shared" ref="L200:L207" si="29">SUM(F200:K200)</f>
        <v>25000</v>
      </c>
      <c r="M200" s="84">
        <v>25000</v>
      </c>
      <c r="N200" s="84">
        <v>10200</v>
      </c>
      <c r="O200" s="838">
        <f t="shared" si="28"/>
        <v>0.40799999999999997</v>
      </c>
      <c r="P200" s="764" t="s">
        <v>395</v>
      </c>
      <c r="Q200" s="650"/>
    </row>
    <row r="201" spans="1:17" s="76" customFormat="1" ht="107.25" customHeight="1">
      <c r="A201" s="573"/>
      <c r="B201" s="167"/>
      <c r="C201" s="351">
        <v>5</v>
      </c>
      <c r="D201" s="350"/>
      <c r="E201" s="85" t="s">
        <v>296</v>
      </c>
      <c r="F201" s="219"/>
      <c r="G201" s="84"/>
      <c r="H201" s="84"/>
      <c r="I201" s="84"/>
      <c r="J201" s="84"/>
      <c r="K201" s="84">
        <v>25000</v>
      </c>
      <c r="L201" s="84">
        <f t="shared" si="29"/>
        <v>25000</v>
      </c>
      <c r="M201" s="84">
        <v>25000</v>
      </c>
      <c r="N201" s="84">
        <f>15154.14+600</f>
        <v>15754.14</v>
      </c>
      <c r="O201" s="838">
        <f t="shared" si="28"/>
        <v>0.63016559999999999</v>
      </c>
      <c r="P201" s="764" t="s">
        <v>395</v>
      </c>
      <c r="Q201" s="650"/>
    </row>
    <row r="202" spans="1:17" s="76" customFormat="1" ht="69.75" customHeight="1">
      <c r="A202" s="573"/>
      <c r="B202" s="167"/>
      <c r="C202" s="351">
        <v>6</v>
      </c>
      <c r="D202" s="350"/>
      <c r="E202" s="85" t="s">
        <v>106</v>
      </c>
      <c r="F202" s="219"/>
      <c r="G202" s="84"/>
      <c r="H202" s="84"/>
      <c r="I202" s="84"/>
      <c r="J202" s="84"/>
      <c r="K202" s="84">
        <v>8000</v>
      </c>
      <c r="L202" s="84">
        <f t="shared" si="29"/>
        <v>8000</v>
      </c>
      <c r="M202" s="84">
        <v>8000</v>
      </c>
      <c r="N202" s="84">
        <v>2973</v>
      </c>
      <c r="O202" s="838">
        <f t="shared" si="28"/>
        <v>0.37162499999999998</v>
      </c>
      <c r="P202" s="764" t="s">
        <v>395</v>
      </c>
      <c r="Q202" s="650"/>
    </row>
    <row r="203" spans="1:17" s="76" customFormat="1" ht="113.25" customHeight="1">
      <c r="A203" s="573"/>
      <c r="B203" s="167"/>
      <c r="C203" s="351">
        <v>7</v>
      </c>
      <c r="D203" s="350"/>
      <c r="E203" s="85" t="s">
        <v>248</v>
      </c>
      <c r="F203" s="219"/>
      <c r="G203" s="84"/>
      <c r="H203" s="84"/>
      <c r="I203" s="84"/>
      <c r="J203" s="84"/>
      <c r="K203" s="84">
        <f>6000+2000</f>
        <v>8000</v>
      </c>
      <c r="L203" s="84">
        <f t="shared" si="29"/>
        <v>8000</v>
      </c>
      <c r="M203" s="84">
        <v>8000</v>
      </c>
      <c r="N203" s="84">
        <v>104</v>
      </c>
      <c r="O203" s="838">
        <f t="shared" si="28"/>
        <v>1.2999999999999999E-2</v>
      </c>
      <c r="P203" s="764" t="s">
        <v>395</v>
      </c>
      <c r="Q203" s="650"/>
    </row>
    <row r="204" spans="1:17" s="76" customFormat="1" ht="69.75" customHeight="1">
      <c r="A204" s="573"/>
      <c r="B204" s="167"/>
      <c r="C204" s="351">
        <v>8</v>
      </c>
      <c r="D204" s="350"/>
      <c r="E204" s="85" t="s">
        <v>237</v>
      </c>
      <c r="F204" s="219"/>
      <c r="G204" s="84"/>
      <c r="H204" s="84"/>
      <c r="I204" s="84"/>
      <c r="J204" s="84"/>
      <c r="K204" s="84">
        <v>15000</v>
      </c>
      <c r="L204" s="84">
        <f t="shared" si="29"/>
        <v>15000</v>
      </c>
      <c r="M204" s="84">
        <v>15000</v>
      </c>
      <c r="N204" s="84">
        <v>3842.23</v>
      </c>
      <c r="O204" s="838">
        <f t="shared" si="28"/>
        <v>0.25614866666666669</v>
      </c>
      <c r="P204" s="764" t="s">
        <v>395</v>
      </c>
      <c r="Q204" s="650"/>
    </row>
    <row r="205" spans="1:17" s="94" customFormat="1" ht="69.75" customHeight="1">
      <c r="A205" s="573"/>
      <c r="B205" s="167"/>
      <c r="C205" s="351">
        <v>9</v>
      </c>
      <c r="D205" s="350"/>
      <c r="E205" s="85" t="s">
        <v>105</v>
      </c>
      <c r="F205" s="219"/>
      <c r="G205" s="84"/>
      <c r="H205" s="84"/>
      <c r="I205" s="84"/>
      <c r="J205" s="84"/>
      <c r="K205" s="84">
        <v>30000</v>
      </c>
      <c r="L205" s="84">
        <f t="shared" si="29"/>
        <v>30000</v>
      </c>
      <c r="M205" s="84">
        <v>30000</v>
      </c>
      <c r="N205" s="84">
        <v>10000</v>
      </c>
      <c r="O205" s="838">
        <f t="shared" si="28"/>
        <v>0.33333333333333331</v>
      </c>
      <c r="P205" s="766" t="s">
        <v>395</v>
      </c>
      <c r="Q205" s="649"/>
    </row>
    <row r="206" spans="1:17" s="410" customFormat="1" ht="91.5" customHeight="1">
      <c r="A206" s="573"/>
      <c r="B206" s="167"/>
      <c r="C206" s="351">
        <v>10</v>
      </c>
      <c r="D206" s="350"/>
      <c r="E206" s="85" t="s">
        <v>345</v>
      </c>
      <c r="F206" s="219"/>
      <c r="G206" s="84"/>
      <c r="H206" s="84"/>
      <c r="I206" s="84"/>
      <c r="J206" s="84"/>
      <c r="K206" s="84">
        <v>20000</v>
      </c>
      <c r="L206" s="84">
        <f t="shared" si="29"/>
        <v>20000</v>
      </c>
      <c r="M206" s="84">
        <v>20000</v>
      </c>
      <c r="N206" s="84">
        <v>4428</v>
      </c>
      <c r="O206" s="838">
        <f t="shared" si="28"/>
        <v>0.22140000000000001</v>
      </c>
      <c r="P206" s="766" t="s">
        <v>395</v>
      </c>
      <c r="Q206" s="649"/>
    </row>
    <row r="207" spans="1:17" s="94" customFormat="1" ht="91.5" customHeight="1">
      <c r="A207" s="573"/>
      <c r="B207" s="167"/>
      <c r="C207" s="351">
        <v>11</v>
      </c>
      <c r="D207" s="350"/>
      <c r="E207" s="85" t="s">
        <v>104</v>
      </c>
      <c r="F207" s="219"/>
      <c r="G207" s="84"/>
      <c r="H207" s="84"/>
      <c r="I207" s="84"/>
      <c r="J207" s="84"/>
      <c r="K207" s="84">
        <v>22000</v>
      </c>
      <c r="L207" s="84">
        <f t="shared" si="29"/>
        <v>22000</v>
      </c>
      <c r="M207" s="84">
        <v>22000</v>
      </c>
      <c r="N207" s="84">
        <v>5618.4</v>
      </c>
      <c r="O207" s="838">
        <f t="shared" si="28"/>
        <v>0.25538181818181815</v>
      </c>
      <c r="P207" s="766" t="s">
        <v>395</v>
      </c>
      <c r="Q207" s="649"/>
    </row>
    <row r="208" spans="1:17" s="330" customFormat="1" ht="63" customHeight="1">
      <c r="A208" s="484"/>
      <c r="B208" s="472">
        <v>75075</v>
      </c>
      <c r="C208" s="244"/>
      <c r="D208" s="243"/>
      <c r="E208" s="331" t="s">
        <v>103</v>
      </c>
      <c r="F208" s="500">
        <f>F209</f>
        <v>0</v>
      </c>
      <c r="G208" s="500">
        <f>G209</f>
        <v>0</v>
      </c>
      <c r="H208" s="500">
        <f>H209</f>
        <v>0</v>
      </c>
      <c r="I208" s="500">
        <f>I209</f>
        <v>0</v>
      </c>
      <c r="J208" s="500">
        <f>J209</f>
        <v>0</v>
      </c>
      <c r="K208" s="500" t="e">
        <f>K209+K210+K212</f>
        <v>#REF!</v>
      </c>
      <c r="L208" s="92">
        <f>L209+L210+L212+L213</f>
        <v>85000</v>
      </c>
      <c r="M208" s="92">
        <f>M209+M210+M212+M213</f>
        <v>94450</v>
      </c>
      <c r="N208" s="92">
        <f>N209+N210+N212+N213</f>
        <v>12889.34</v>
      </c>
      <c r="O208" s="755">
        <f t="shared" si="28"/>
        <v>0.13646733721545792</v>
      </c>
      <c r="P208" s="767" t="s">
        <v>395</v>
      </c>
      <c r="Q208" s="652"/>
    </row>
    <row r="209" spans="1:18" s="477" customFormat="1" ht="68.25" customHeight="1">
      <c r="A209" s="407"/>
      <c r="B209" s="342"/>
      <c r="C209" s="341">
        <v>1</v>
      </c>
      <c r="D209" s="340"/>
      <c r="E209" s="339" t="s">
        <v>102</v>
      </c>
      <c r="F209" s="338"/>
      <c r="G209" s="501"/>
      <c r="H209" s="338"/>
      <c r="I209" s="501"/>
      <c r="J209" s="338"/>
      <c r="K209" s="502" t="e">
        <f>#REF!+#REF!</f>
        <v>#REF!</v>
      </c>
      <c r="L209" s="338">
        <v>25000</v>
      </c>
      <c r="M209" s="338">
        <v>25000</v>
      </c>
      <c r="N209" s="338">
        <v>3567.43</v>
      </c>
      <c r="O209" s="855">
        <f t="shared" si="28"/>
        <v>0.1426972</v>
      </c>
      <c r="P209" s="777" t="s">
        <v>395</v>
      </c>
      <c r="Q209" s="661"/>
    </row>
    <row r="210" spans="1:18" s="427" customFormat="1" ht="156.75" customHeight="1">
      <c r="A210" s="1211"/>
      <c r="B210" s="1212"/>
      <c r="C210" s="593">
        <v>2</v>
      </c>
      <c r="D210" s="689"/>
      <c r="E210" s="700" t="s">
        <v>346</v>
      </c>
      <c r="F210" s="701"/>
      <c r="G210" s="702"/>
      <c r="H210" s="702"/>
      <c r="I210" s="702"/>
      <c r="J210" s="702"/>
      <c r="K210" s="703">
        <v>40000</v>
      </c>
      <c r="L210" s="1213">
        <f t="shared" ref="L210:L212" si="30">SUM(F210:K210)</f>
        <v>40000</v>
      </c>
      <c r="M210" s="1213">
        <v>40000</v>
      </c>
      <c r="N210" s="1213">
        <v>0</v>
      </c>
      <c r="O210" s="1214">
        <v>0</v>
      </c>
      <c r="P210" s="768" t="s">
        <v>395</v>
      </c>
      <c r="Q210" s="655"/>
    </row>
    <row r="211" spans="1:18" s="322" customFormat="1" ht="58.2" customHeight="1">
      <c r="A211" s="1211"/>
      <c r="B211" s="1212"/>
      <c r="C211" s="1174"/>
      <c r="D211" s="348"/>
      <c r="E211" s="1220" t="s">
        <v>745</v>
      </c>
      <c r="F211" s="1215"/>
      <c r="G211" s="1216"/>
      <c r="H211" s="1216"/>
      <c r="I211" s="1216"/>
      <c r="J211" s="1216"/>
      <c r="K211" s="1217"/>
      <c r="L211" s="1218"/>
      <c r="M211" s="1218"/>
      <c r="N211" s="1218"/>
      <c r="O211" s="1219"/>
      <c r="P211" s="767"/>
      <c r="Q211" s="652"/>
    </row>
    <row r="212" spans="1:18" s="322" customFormat="1" ht="71.25" customHeight="1">
      <c r="A212" s="687"/>
      <c r="B212" s="691"/>
      <c r="C212" s="593">
        <v>3</v>
      </c>
      <c r="D212" s="689"/>
      <c r="E212" s="700" t="s">
        <v>185</v>
      </c>
      <c r="F212" s="701"/>
      <c r="G212" s="702"/>
      <c r="H212" s="702"/>
      <c r="I212" s="702"/>
      <c r="J212" s="702"/>
      <c r="K212" s="703">
        <v>20000</v>
      </c>
      <c r="L212" s="704">
        <f t="shared" si="30"/>
        <v>20000</v>
      </c>
      <c r="M212" s="704">
        <v>22000</v>
      </c>
      <c r="N212" s="704">
        <v>3900</v>
      </c>
      <c r="O212" s="856">
        <v>0</v>
      </c>
      <c r="P212" s="767" t="s">
        <v>395</v>
      </c>
      <c r="Q212" s="652"/>
    </row>
    <row r="213" spans="1:18" s="322" customFormat="1" ht="71.25" customHeight="1">
      <c r="A213" s="687"/>
      <c r="B213" s="691"/>
      <c r="C213" s="593">
        <v>4</v>
      </c>
      <c r="D213" s="689"/>
      <c r="E213" s="700" t="s">
        <v>379</v>
      </c>
      <c r="F213" s="701"/>
      <c r="G213" s="702"/>
      <c r="H213" s="702"/>
      <c r="I213" s="702"/>
      <c r="J213" s="702"/>
      <c r="K213" s="703">
        <v>20000</v>
      </c>
      <c r="L213" s="704">
        <v>0</v>
      </c>
      <c r="M213" s="704">
        <v>7450</v>
      </c>
      <c r="N213" s="704">
        <v>5421.91</v>
      </c>
      <c r="O213" s="856">
        <f>N213/M213</f>
        <v>0.72777315436241607</v>
      </c>
      <c r="P213" s="767" t="s">
        <v>410</v>
      </c>
      <c r="Q213" s="652"/>
    </row>
    <row r="214" spans="1:18" s="76" customFormat="1" ht="57.75" customHeight="1">
      <c r="A214" s="573"/>
      <c r="B214" s="75">
        <v>75085</v>
      </c>
      <c r="C214" s="74"/>
      <c r="D214" s="73"/>
      <c r="E214" s="72" t="s">
        <v>265</v>
      </c>
      <c r="F214" s="409">
        <f t="shared" ref="F214:K214" si="31">F215</f>
        <v>0</v>
      </c>
      <c r="G214" s="92">
        <f t="shared" si="31"/>
        <v>0</v>
      </c>
      <c r="H214" s="92">
        <f t="shared" si="31"/>
        <v>0</v>
      </c>
      <c r="I214" s="92">
        <f t="shared" si="31"/>
        <v>0</v>
      </c>
      <c r="J214" s="92">
        <f t="shared" si="31"/>
        <v>0</v>
      </c>
      <c r="K214" s="92">
        <f t="shared" si="31"/>
        <v>1394000</v>
      </c>
      <c r="L214" s="92">
        <f>L215</f>
        <v>1394000</v>
      </c>
      <c r="M214" s="92">
        <f t="shared" ref="M214:N214" si="32">M215</f>
        <v>1394000</v>
      </c>
      <c r="N214" s="92">
        <f t="shared" si="32"/>
        <v>719876.93</v>
      </c>
      <c r="O214" s="755">
        <f>N214/M214</f>
        <v>0.5164109971305596</v>
      </c>
      <c r="P214" s="764" t="s">
        <v>395</v>
      </c>
      <c r="Q214" s="650"/>
    </row>
    <row r="215" spans="1:18" s="434" customFormat="1" ht="66" customHeight="1">
      <c r="A215" s="559"/>
      <c r="B215" s="199"/>
      <c r="C215" s="481">
        <v>1</v>
      </c>
      <c r="D215" s="355"/>
      <c r="E215" s="327" t="s">
        <v>55</v>
      </c>
      <c r="F215" s="419"/>
      <c r="G215" s="419"/>
      <c r="H215" s="419"/>
      <c r="I215" s="419"/>
      <c r="J215" s="419"/>
      <c r="K215" s="386">
        <f>1225000+16000+27666+7000+118334</f>
        <v>1394000</v>
      </c>
      <c r="L215" s="386">
        <f>L216+L224</f>
        <v>1394000</v>
      </c>
      <c r="M215" s="386">
        <f t="shared" ref="M215:N215" si="33">M216+M224</f>
        <v>1394000</v>
      </c>
      <c r="N215" s="386">
        <f t="shared" si="33"/>
        <v>719876.93</v>
      </c>
      <c r="O215" s="851">
        <f>N215/M215</f>
        <v>0.5164109971305596</v>
      </c>
      <c r="P215" s="765" t="s">
        <v>395</v>
      </c>
      <c r="Q215" s="651"/>
    </row>
    <row r="216" spans="1:18" s="431" customFormat="1" ht="47.25" customHeight="1">
      <c r="A216" s="987"/>
      <c r="B216" s="944"/>
      <c r="C216" s="458"/>
      <c r="D216" s="444"/>
      <c r="E216" s="945" t="s">
        <v>412</v>
      </c>
      <c r="F216" s="976"/>
      <c r="G216" s="946"/>
      <c r="H216" s="946"/>
      <c r="I216" s="946"/>
      <c r="J216" s="947"/>
      <c r="K216" s="948"/>
      <c r="L216" s="949">
        <v>1225000</v>
      </c>
      <c r="M216" s="949">
        <v>1225000</v>
      </c>
      <c r="N216" s="977">
        <f>SUM(N218:N223)</f>
        <v>636065.42000000004</v>
      </c>
      <c r="O216" s="978">
        <f t="shared" ref="O216" si="34">N216/M216</f>
        <v>0.51923707755102044</v>
      </c>
      <c r="P216" s="780" t="s">
        <v>395</v>
      </c>
      <c r="Q216" s="1026"/>
      <c r="R216" s="951"/>
    </row>
    <row r="217" spans="1:18" s="440" customFormat="1" ht="34.5" customHeight="1">
      <c r="A217" s="984"/>
      <c r="B217" s="972"/>
      <c r="C217" s="450"/>
      <c r="D217" s="438"/>
      <c r="E217" s="952" t="s">
        <v>13</v>
      </c>
      <c r="F217" s="985"/>
      <c r="G217" s="973"/>
      <c r="H217" s="973"/>
      <c r="I217" s="973"/>
      <c r="J217" s="973"/>
      <c r="K217" s="383"/>
      <c r="L217" s="980"/>
      <c r="M217" s="980"/>
      <c r="N217" s="980"/>
      <c r="O217" s="981"/>
      <c r="P217" s="772"/>
      <c r="Q217" s="1027"/>
      <c r="R217" s="953"/>
    </row>
    <row r="218" spans="1:18" s="440" customFormat="1" ht="65.400000000000006" customHeight="1">
      <c r="A218" s="984"/>
      <c r="B218" s="972"/>
      <c r="C218" s="450"/>
      <c r="D218" s="438"/>
      <c r="E218" s="954" t="s">
        <v>609</v>
      </c>
      <c r="F218" s="985"/>
      <c r="G218" s="973"/>
      <c r="H218" s="973"/>
      <c r="I218" s="973"/>
      <c r="J218" s="973"/>
      <c r="K218" s="383"/>
      <c r="L218" s="955"/>
      <c r="M218" s="955"/>
      <c r="N218" s="983">
        <v>430946.03</v>
      </c>
      <c r="O218" s="981"/>
      <c r="P218" s="772"/>
      <c r="Q218" s="1027"/>
      <c r="R218" s="953"/>
    </row>
    <row r="219" spans="1:18" s="440" customFormat="1" ht="36" customHeight="1">
      <c r="A219" s="984"/>
      <c r="B219" s="972"/>
      <c r="C219" s="450"/>
      <c r="D219" s="438"/>
      <c r="E219" s="954" t="s">
        <v>598</v>
      </c>
      <c r="F219" s="985"/>
      <c r="G219" s="973"/>
      <c r="H219" s="973"/>
      <c r="I219" s="973"/>
      <c r="J219" s="973"/>
      <c r="K219" s="383"/>
      <c r="L219" s="955"/>
      <c r="M219" s="955"/>
      <c r="N219" s="983">
        <v>0</v>
      </c>
      <c r="O219" s="981"/>
      <c r="P219" s="772"/>
      <c r="Q219" s="1027"/>
      <c r="R219" s="953"/>
    </row>
    <row r="220" spans="1:18" s="440" customFormat="1" ht="36" customHeight="1">
      <c r="A220" s="984"/>
      <c r="B220" s="972"/>
      <c r="C220" s="450"/>
      <c r="D220" s="438"/>
      <c r="E220" s="954" t="s">
        <v>599</v>
      </c>
      <c r="F220" s="985"/>
      <c r="G220" s="973"/>
      <c r="H220" s="973"/>
      <c r="I220" s="973"/>
      <c r="J220" s="973"/>
      <c r="K220" s="383"/>
      <c r="L220" s="955"/>
      <c r="M220" s="955"/>
      <c r="N220" s="983">
        <v>72430.09</v>
      </c>
      <c r="O220" s="981"/>
      <c r="P220" s="772"/>
      <c r="Q220" s="1027"/>
      <c r="R220" s="953"/>
    </row>
    <row r="221" spans="1:18" s="440" customFormat="1" ht="36" customHeight="1">
      <c r="A221" s="984"/>
      <c r="B221" s="972"/>
      <c r="C221" s="450"/>
      <c r="D221" s="438"/>
      <c r="E221" s="954" t="s">
        <v>610</v>
      </c>
      <c r="F221" s="985"/>
      <c r="G221" s="973"/>
      <c r="H221" s="973"/>
      <c r="I221" s="973"/>
      <c r="J221" s="973"/>
      <c r="K221" s="383"/>
      <c r="L221" s="955"/>
      <c r="M221" s="955"/>
      <c r="N221" s="983">
        <v>9477</v>
      </c>
      <c r="O221" s="981"/>
      <c r="P221" s="772"/>
      <c r="Q221" s="1027"/>
      <c r="R221" s="953"/>
    </row>
    <row r="222" spans="1:18" s="440" customFormat="1" ht="64.8" customHeight="1">
      <c r="A222" s="984"/>
      <c r="B222" s="972"/>
      <c r="C222" s="450"/>
      <c r="D222" s="438"/>
      <c r="E222" s="954" t="s">
        <v>611</v>
      </c>
      <c r="F222" s="985"/>
      <c r="G222" s="973"/>
      <c r="H222" s="973"/>
      <c r="I222" s="973"/>
      <c r="J222" s="973"/>
      <c r="K222" s="383"/>
      <c r="L222" s="955"/>
      <c r="M222" s="955"/>
      <c r="N222" s="983">
        <v>28560</v>
      </c>
      <c r="O222" s="981"/>
      <c r="P222" s="772"/>
      <c r="Q222" s="1027"/>
      <c r="R222" s="953"/>
    </row>
    <row r="223" spans="1:18" s="440" customFormat="1" ht="54" customHeight="1">
      <c r="A223" s="984"/>
      <c r="B223" s="972"/>
      <c r="C223" s="450"/>
      <c r="D223" s="438"/>
      <c r="E223" s="954" t="s">
        <v>600</v>
      </c>
      <c r="F223" s="985"/>
      <c r="G223" s="973"/>
      <c r="H223" s="973"/>
      <c r="I223" s="973"/>
      <c r="J223" s="973"/>
      <c r="K223" s="383"/>
      <c r="L223" s="955"/>
      <c r="M223" s="955"/>
      <c r="N223" s="983">
        <v>94652.3</v>
      </c>
      <c r="O223" s="981"/>
      <c r="P223" s="772"/>
      <c r="Q223" s="1027"/>
      <c r="R223" s="953"/>
    </row>
    <row r="224" spans="1:18" s="440" customFormat="1" ht="41.25" customHeight="1">
      <c r="A224" s="984"/>
      <c r="B224" s="972"/>
      <c r="C224" s="986"/>
      <c r="D224" s="438"/>
      <c r="E224" s="945" t="s">
        <v>418</v>
      </c>
      <c r="F224" s="949">
        <v>117300</v>
      </c>
      <c r="G224" s="949">
        <v>111778</v>
      </c>
      <c r="H224" s="949">
        <v>74715.13</v>
      </c>
      <c r="I224" s="973"/>
      <c r="J224" s="973"/>
      <c r="K224" s="529"/>
      <c r="L224" s="949">
        <v>169000</v>
      </c>
      <c r="M224" s="949">
        <v>169000</v>
      </c>
      <c r="N224" s="977">
        <f>SUM(N225:N237)</f>
        <v>83811.509999999995</v>
      </c>
      <c r="O224" s="978">
        <f>N224/M224</f>
        <v>0.49592609467455617</v>
      </c>
      <c r="P224" s="772" t="s">
        <v>395</v>
      </c>
      <c r="Q224" s="1027"/>
      <c r="R224" s="953"/>
    </row>
    <row r="225" spans="1:18" s="440" customFormat="1" ht="60" customHeight="1">
      <c r="A225" s="984"/>
      <c r="B225" s="972"/>
      <c r="C225" s="450"/>
      <c r="D225" s="438"/>
      <c r="E225" s="957" t="s">
        <v>447</v>
      </c>
      <c r="F225" s="958"/>
      <c r="G225" s="958"/>
      <c r="H225" s="958">
        <v>0</v>
      </c>
      <c r="I225" s="973"/>
      <c r="J225" s="973"/>
      <c r="K225" s="529"/>
      <c r="L225" s="958"/>
      <c r="M225" s="958"/>
      <c r="N225" s="983">
        <v>1114.1199999999999</v>
      </c>
      <c r="O225" s="981"/>
      <c r="P225" s="772"/>
      <c r="Q225" s="1027"/>
      <c r="R225" s="953"/>
    </row>
    <row r="226" spans="1:18" s="440" customFormat="1" ht="66" customHeight="1">
      <c r="A226" s="984"/>
      <c r="B226" s="972"/>
      <c r="C226" s="450"/>
      <c r="D226" s="438"/>
      <c r="E226" s="960" t="s">
        <v>756</v>
      </c>
      <c r="F226" s="958"/>
      <c r="G226" s="958"/>
      <c r="H226" s="958">
        <v>4300</v>
      </c>
      <c r="I226" s="973"/>
      <c r="J226" s="973"/>
      <c r="K226" s="529"/>
      <c r="L226" s="958"/>
      <c r="M226" s="958"/>
      <c r="N226" s="983">
        <v>445</v>
      </c>
      <c r="O226" s="981"/>
      <c r="P226" s="772"/>
      <c r="Q226" s="1027"/>
      <c r="R226" s="953"/>
    </row>
    <row r="227" spans="1:18" s="440" customFormat="1" ht="42.6" customHeight="1">
      <c r="A227" s="984"/>
      <c r="B227" s="972"/>
      <c r="C227" s="450"/>
      <c r="D227" s="438"/>
      <c r="E227" s="957" t="s">
        <v>601</v>
      </c>
      <c r="F227" s="958"/>
      <c r="G227" s="958"/>
      <c r="H227" s="958">
        <v>0</v>
      </c>
      <c r="I227" s="973"/>
      <c r="J227" s="973"/>
      <c r="K227" s="529"/>
      <c r="L227" s="958"/>
      <c r="M227" s="958"/>
      <c r="N227" s="983">
        <v>1168.17</v>
      </c>
      <c r="O227" s="981"/>
      <c r="P227" s="772"/>
      <c r="Q227" s="1027"/>
      <c r="R227" s="953"/>
    </row>
    <row r="228" spans="1:18" s="440" customFormat="1" ht="63" customHeight="1">
      <c r="A228" s="984"/>
      <c r="B228" s="972"/>
      <c r="C228" s="450"/>
      <c r="D228" s="438"/>
      <c r="E228" s="957" t="s">
        <v>602</v>
      </c>
      <c r="F228" s="958"/>
      <c r="G228" s="958"/>
      <c r="H228" s="958">
        <v>0</v>
      </c>
      <c r="I228" s="973"/>
      <c r="J228" s="973"/>
      <c r="K228" s="529"/>
      <c r="L228" s="958"/>
      <c r="M228" s="958"/>
      <c r="N228" s="983">
        <v>770.57</v>
      </c>
      <c r="O228" s="981"/>
      <c r="P228" s="772"/>
      <c r="Q228" s="1027"/>
      <c r="R228" s="953"/>
    </row>
    <row r="229" spans="1:18" s="440" customFormat="1" ht="36" customHeight="1">
      <c r="A229" s="984"/>
      <c r="B229" s="972"/>
      <c r="C229" s="450"/>
      <c r="D229" s="438"/>
      <c r="E229" s="957" t="s">
        <v>603</v>
      </c>
      <c r="F229" s="958"/>
      <c r="G229" s="958"/>
      <c r="H229" s="958">
        <v>0</v>
      </c>
      <c r="I229" s="973"/>
      <c r="J229" s="973"/>
      <c r="K229" s="529"/>
      <c r="L229" s="958"/>
      <c r="M229" s="958"/>
      <c r="N229" s="983">
        <v>805.7</v>
      </c>
      <c r="O229" s="981"/>
      <c r="P229" s="772"/>
      <c r="Q229" s="1027"/>
      <c r="R229" s="953"/>
    </row>
    <row r="230" spans="1:18" s="440" customFormat="1" ht="36" customHeight="1">
      <c r="A230" s="984"/>
      <c r="B230" s="972"/>
      <c r="C230" s="450"/>
      <c r="D230" s="438"/>
      <c r="E230" s="957" t="s">
        <v>604</v>
      </c>
      <c r="F230" s="958"/>
      <c r="G230" s="958"/>
      <c r="H230" s="958">
        <v>0</v>
      </c>
      <c r="I230" s="973"/>
      <c r="J230" s="973"/>
      <c r="K230" s="529"/>
      <c r="L230" s="958"/>
      <c r="M230" s="958"/>
      <c r="N230" s="983">
        <v>715.67</v>
      </c>
      <c r="O230" s="981"/>
      <c r="P230" s="772"/>
      <c r="Q230" s="1027"/>
      <c r="R230" s="953"/>
    </row>
    <row r="231" spans="1:18" s="440" customFormat="1" ht="36" customHeight="1">
      <c r="A231" s="984"/>
      <c r="B231" s="972"/>
      <c r="C231" s="450"/>
      <c r="D231" s="438"/>
      <c r="E231" s="957" t="s">
        <v>605</v>
      </c>
      <c r="F231" s="961"/>
      <c r="G231" s="961"/>
      <c r="H231" s="958">
        <v>32231.32</v>
      </c>
      <c r="I231" s="973"/>
      <c r="J231" s="973"/>
      <c r="K231" s="529"/>
      <c r="L231" s="961"/>
      <c r="M231" s="961"/>
      <c r="N231" s="983">
        <v>9212.9</v>
      </c>
      <c r="O231" s="981"/>
      <c r="P231" s="772"/>
      <c r="Q231" s="1027"/>
      <c r="R231" s="953"/>
    </row>
    <row r="232" spans="1:18" s="440" customFormat="1" ht="36" customHeight="1">
      <c r="A232" s="984"/>
      <c r="B232" s="972"/>
      <c r="C232" s="450"/>
      <c r="D232" s="438"/>
      <c r="E232" s="957" t="s">
        <v>606</v>
      </c>
      <c r="F232" s="961"/>
      <c r="G232" s="961"/>
      <c r="H232" s="958">
        <v>0</v>
      </c>
      <c r="I232" s="973"/>
      <c r="J232" s="973"/>
      <c r="K232" s="529"/>
      <c r="L232" s="961"/>
      <c r="M232" s="961"/>
      <c r="N232" s="983">
        <v>1034</v>
      </c>
      <c r="O232" s="981"/>
      <c r="P232" s="772"/>
      <c r="Q232" s="1027"/>
      <c r="R232" s="953"/>
    </row>
    <row r="233" spans="1:18" s="440" customFormat="1" ht="36" customHeight="1">
      <c r="A233" s="984"/>
      <c r="B233" s="972"/>
      <c r="C233" s="450"/>
      <c r="D233" s="438"/>
      <c r="E233" s="957" t="s">
        <v>607</v>
      </c>
      <c r="F233" s="961"/>
      <c r="G233" s="961"/>
      <c r="H233" s="958">
        <v>692</v>
      </c>
      <c r="I233" s="973"/>
      <c r="J233" s="973"/>
      <c r="K233" s="529"/>
      <c r="L233" s="961"/>
      <c r="M233" s="961"/>
      <c r="N233" s="983">
        <v>462.46</v>
      </c>
      <c r="O233" s="981"/>
      <c r="P233" s="772"/>
      <c r="Q233" s="1027"/>
      <c r="R233" s="953"/>
    </row>
    <row r="234" spans="1:18" s="440" customFormat="1" ht="36" customHeight="1">
      <c r="A234" s="984"/>
      <c r="B234" s="972"/>
      <c r="C234" s="450"/>
      <c r="D234" s="438"/>
      <c r="E234" s="957" t="s">
        <v>608</v>
      </c>
      <c r="F234" s="961"/>
      <c r="G234" s="961"/>
      <c r="H234" s="958">
        <v>35817</v>
      </c>
      <c r="I234" s="973"/>
      <c r="J234" s="973"/>
      <c r="K234" s="529"/>
      <c r="L234" s="961"/>
      <c r="M234" s="961"/>
      <c r="N234" s="983">
        <v>21000</v>
      </c>
      <c r="O234" s="981"/>
      <c r="P234" s="772"/>
      <c r="Q234" s="1027"/>
      <c r="R234" s="953"/>
    </row>
    <row r="235" spans="1:18" s="440" customFormat="1" ht="36" customHeight="1">
      <c r="A235" s="984"/>
      <c r="B235" s="972"/>
      <c r="C235" s="450"/>
      <c r="D235" s="438"/>
      <c r="E235" s="957" t="s">
        <v>428</v>
      </c>
      <c r="F235" s="961"/>
      <c r="G235" s="961"/>
      <c r="H235" s="958">
        <v>0</v>
      </c>
      <c r="I235" s="973"/>
      <c r="J235" s="973"/>
      <c r="K235" s="529"/>
      <c r="L235" s="961"/>
      <c r="M235" s="961"/>
      <c r="N235" s="983">
        <v>0</v>
      </c>
      <c r="O235" s="981"/>
      <c r="P235" s="772"/>
      <c r="Q235" s="1027"/>
      <c r="R235" s="953"/>
    </row>
    <row r="236" spans="1:18" s="440" customFormat="1" ht="36" customHeight="1">
      <c r="A236" s="984"/>
      <c r="B236" s="972"/>
      <c r="C236" s="450"/>
      <c r="D236" s="438"/>
      <c r="E236" s="957" t="s">
        <v>429</v>
      </c>
      <c r="F236" s="961"/>
      <c r="G236" s="961"/>
      <c r="H236" s="958">
        <v>0</v>
      </c>
      <c r="I236" s="973"/>
      <c r="J236" s="973"/>
      <c r="K236" s="529"/>
      <c r="L236" s="961"/>
      <c r="M236" s="961"/>
      <c r="N236" s="983">
        <v>3705</v>
      </c>
      <c r="O236" s="981"/>
      <c r="P236" s="772"/>
      <c r="Q236" s="1027"/>
      <c r="R236" s="953"/>
    </row>
    <row r="237" spans="1:18" s="440" customFormat="1" ht="39" customHeight="1">
      <c r="A237" s="984"/>
      <c r="B237" s="972"/>
      <c r="C237" s="450"/>
      <c r="D237" s="438"/>
      <c r="E237" s="957" t="s">
        <v>430</v>
      </c>
      <c r="F237" s="961"/>
      <c r="G237" s="961"/>
      <c r="H237" s="958">
        <v>1674.81</v>
      </c>
      <c r="I237" s="973"/>
      <c r="J237" s="973"/>
      <c r="K237" s="529"/>
      <c r="L237" s="1028"/>
      <c r="M237" s="1029"/>
      <c r="N237" s="1030">
        <v>43377.919999999998</v>
      </c>
      <c r="O237" s="981"/>
      <c r="P237" s="772"/>
      <c r="Q237" s="1027"/>
      <c r="R237" s="953"/>
    </row>
    <row r="238" spans="1:18" s="330" customFormat="1" ht="63.75" customHeight="1">
      <c r="A238" s="484"/>
      <c r="B238" s="472">
        <v>75095</v>
      </c>
      <c r="C238" s="244"/>
      <c r="D238" s="243"/>
      <c r="E238" s="331" t="s">
        <v>5</v>
      </c>
      <c r="F238" s="500">
        <f>SUM(F239:F239)</f>
        <v>0</v>
      </c>
      <c r="G238" s="474">
        <f>SUM(G239:G239)</f>
        <v>0</v>
      </c>
      <c r="H238" s="474">
        <f>SUM(H239:H239)</f>
        <v>0</v>
      </c>
      <c r="I238" s="474">
        <f>SUM(I239:I239)</f>
        <v>0</v>
      </c>
      <c r="J238" s="474">
        <f>SUM(J239:J239)</f>
        <v>0</v>
      </c>
      <c r="K238" s="474" t="e">
        <f>K239+K240</f>
        <v>#REF!</v>
      </c>
      <c r="L238" s="503">
        <f>L239+L240</f>
        <v>107700</v>
      </c>
      <c r="M238" s="503">
        <f>M239+M240</f>
        <v>107700</v>
      </c>
      <c r="N238" s="503">
        <f>N239+N240</f>
        <v>48992.990000000005</v>
      </c>
      <c r="O238" s="857">
        <f>N238/M238</f>
        <v>0.4549024141132777</v>
      </c>
      <c r="P238" s="767" t="s">
        <v>395</v>
      </c>
      <c r="Q238" s="652"/>
    </row>
    <row r="239" spans="1:18" s="477" customFormat="1" ht="54.9" customHeight="1">
      <c r="A239" s="407"/>
      <c r="B239" s="342"/>
      <c r="C239" s="478">
        <v>1</v>
      </c>
      <c r="D239" s="340"/>
      <c r="E239" s="339" t="s">
        <v>101</v>
      </c>
      <c r="F239" s="504"/>
      <c r="G239" s="338"/>
      <c r="H239" s="338"/>
      <c r="I239" s="338"/>
      <c r="J239" s="338"/>
      <c r="K239" s="505" t="e">
        <f>SUM(#REF!)</f>
        <v>#REF!</v>
      </c>
      <c r="L239" s="338">
        <v>17700</v>
      </c>
      <c r="M239" s="338">
        <v>17700</v>
      </c>
      <c r="N239" s="338">
        <f>256+320.23</f>
        <v>576.23</v>
      </c>
      <c r="O239" s="855">
        <f>N239/M239</f>
        <v>3.2555367231638419E-2</v>
      </c>
      <c r="P239" s="777" t="s">
        <v>395</v>
      </c>
      <c r="Q239" s="661"/>
    </row>
    <row r="240" spans="1:18" s="427" customFormat="1" ht="67.5" customHeight="1">
      <c r="A240" s="391"/>
      <c r="B240" s="392"/>
      <c r="C240" s="198">
        <v>2</v>
      </c>
      <c r="D240" s="115"/>
      <c r="E240" s="556" t="s">
        <v>197</v>
      </c>
      <c r="F240" s="557"/>
      <c r="G240" s="558"/>
      <c r="H240" s="558"/>
      <c r="I240" s="558"/>
      <c r="J240" s="451"/>
      <c r="K240" s="451">
        <f>SUM(K242:K251)</f>
        <v>90000</v>
      </c>
      <c r="L240" s="451">
        <f t="shared" ref="L240" si="35">SUM(F240:K240)</f>
        <v>90000</v>
      </c>
      <c r="M240" s="451">
        <v>90000</v>
      </c>
      <c r="N240" s="451">
        <f>N242+N246+N247+N248+N249+N250+N251</f>
        <v>48416.76</v>
      </c>
      <c r="O240" s="837">
        <f>N240/M240</f>
        <v>0.537964</v>
      </c>
      <c r="P240" s="768" t="s">
        <v>395</v>
      </c>
      <c r="Q240" s="655"/>
    </row>
    <row r="241" spans="1:243" s="103" customFormat="1" ht="48.75" customHeight="1">
      <c r="A241" s="391"/>
      <c r="B241" s="107"/>
      <c r="C241" s="269"/>
      <c r="D241" s="91"/>
      <c r="E241" s="347" t="s">
        <v>86</v>
      </c>
      <c r="F241" s="346"/>
      <c r="G241" s="345"/>
      <c r="H241" s="345"/>
      <c r="I241" s="345"/>
      <c r="J241" s="89"/>
      <c r="K241" s="89"/>
      <c r="L241" s="89"/>
      <c r="M241" s="89"/>
      <c r="N241" s="89"/>
      <c r="O241" s="835"/>
      <c r="P241" s="768"/>
      <c r="Q241" s="655"/>
    </row>
    <row r="242" spans="1:243" s="103" customFormat="1" ht="67.5" customHeight="1">
      <c r="A242" s="391"/>
      <c r="B242" s="107"/>
      <c r="C242" s="269"/>
      <c r="D242" s="91" t="s">
        <v>0</v>
      </c>
      <c r="E242" s="347" t="s">
        <v>238</v>
      </c>
      <c r="F242" s="346"/>
      <c r="G242" s="345"/>
      <c r="H242" s="345"/>
      <c r="I242" s="345"/>
      <c r="J242" s="89"/>
      <c r="K242" s="105">
        <v>66000</v>
      </c>
      <c r="L242" s="105">
        <f t="shared" ref="L242:L261" si="36">SUM(F242:K242)</f>
        <v>66000</v>
      </c>
      <c r="M242" s="105">
        <f>66000-4376</f>
        <v>61624</v>
      </c>
      <c r="N242" s="105">
        <v>40277.78</v>
      </c>
      <c r="O242" s="846">
        <f>N242/M242</f>
        <v>0.65360541347526935</v>
      </c>
      <c r="P242" s="768" t="s">
        <v>395</v>
      </c>
      <c r="Q242" s="655"/>
    </row>
    <row r="243" spans="1:243" s="911" customFormat="1" ht="88.5" customHeight="1">
      <c r="A243" s="733"/>
      <c r="B243" s="691"/>
      <c r="C243" s="909"/>
      <c r="D243" s="411"/>
      <c r="E243" s="1300" t="s">
        <v>399</v>
      </c>
      <c r="F243" s="1300"/>
      <c r="G243" s="1300"/>
      <c r="H243" s="1300"/>
      <c r="I243" s="1300"/>
      <c r="J243" s="1300"/>
      <c r="K243" s="1300"/>
      <c r="L243" s="1300"/>
      <c r="M243" s="1300"/>
      <c r="N243" s="1300"/>
      <c r="O243" s="1301"/>
      <c r="P243" s="655"/>
      <c r="Q243" s="910"/>
      <c r="R243" s="655"/>
    </row>
    <row r="244" spans="1:243" s="911" customFormat="1" ht="55.5" customHeight="1">
      <c r="A244" s="687"/>
      <c r="B244" s="691"/>
      <c r="C244" s="909"/>
      <c r="D244" s="411"/>
      <c r="E244" s="1300" t="s">
        <v>400</v>
      </c>
      <c r="F244" s="1300"/>
      <c r="G244" s="1300"/>
      <c r="H244" s="1300"/>
      <c r="I244" s="1300"/>
      <c r="J244" s="1300"/>
      <c r="K244" s="1300"/>
      <c r="L244" s="1300"/>
      <c r="M244" s="1300"/>
      <c r="N244" s="1300"/>
      <c r="O244" s="1301"/>
      <c r="P244" s="655"/>
      <c r="Q244" s="910"/>
      <c r="R244" s="655"/>
    </row>
    <row r="245" spans="1:243" s="911" customFormat="1" ht="69.599999999999994" customHeight="1">
      <c r="A245" s="687"/>
      <c r="B245" s="691"/>
      <c r="C245" s="909"/>
      <c r="D245" s="411"/>
      <c r="E245" s="1302" t="s">
        <v>757</v>
      </c>
      <c r="F245" s="1300"/>
      <c r="G245" s="1300"/>
      <c r="H245" s="1300"/>
      <c r="I245" s="1300"/>
      <c r="J245" s="1300"/>
      <c r="K245" s="1300"/>
      <c r="L245" s="1300"/>
      <c r="M245" s="1300"/>
      <c r="N245" s="1300"/>
      <c r="O245" s="1301"/>
      <c r="P245" s="655"/>
      <c r="Q245" s="910"/>
      <c r="R245" s="655"/>
    </row>
    <row r="246" spans="1:243" s="103" customFormat="1" ht="45.75" customHeight="1">
      <c r="A246" s="391"/>
      <c r="B246" s="107"/>
      <c r="C246" s="269"/>
      <c r="D246" s="91" t="s">
        <v>0</v>
      </c>
      <c r="E246" s="347" t="s">
        <v>100</v>
      </c>
      <c r="F246" s="346"/>
      <c r="G246" s="345"/>
      <c r="H246" s="345"/>
      <c r="I246" s="345"/>
      <c r="J246" s="89"/>
      <c r="K246" s="105">
        <v>6000</v>
      </c>
      <c r="L246" s="105">
        <f t="shared" si="36"/>
        <v>6000</v>
      </c>
      <c r="M246" s="105">
        <f>6000+4376</f>
        <v>10376</v>
      </c>
      <c r="N246" s="105">
        <v>6969.25</v>
      </c>
      <c r="O246" s="846">
        <f>N246/M246</f>
        <v>0.67167020046260606</v>
      </c>
      <c r="P246" s="768" t="s">
        <v>395</v>
      </c>
      <c r="Q246" s="655"/>
    </row>
    <row r="247" spans="1:243" s="103" customFormat="1" ht="65.25" customHeight="1">
      <c r="A247" s="391"/>
      <c r="B247" s="107"/>
      <c r="C247" s="269"/>
      <c r="D247" s="91" t="s">
        <v>0</v>
      </c>
      <c r="E247" s="347" t="s">
        <v>99</v>
      </c>
      <c r="F247" s="346"/>
      <c r="G247" s="345"/>
      <c r="H247" s="345"/>
      <c r="I247" s="345"/>
      <c r="J247" s="89"/>
      <c r="K247" s="105">
        <v>1000</v>
      </c>
      <c r="L247" s="105">
        <f t="shared" si="36"/>
        <v>1000</v>
      </c>
      <c r="M247" s="105">
        <v>1000</v>
      </c>
      <c r="N247" s="105">
        <v>200</v>
      </c>
      <c r="O247" s="846">
        <f>N247/M247</f>
        <v>0.2</v>
      </c>
      <c r="P247" s="768" t="s">
        <v>395</v>
      </c>
      <c r="Q247" s="655"/>
    </row>
    <row r="248" spans="1:243" s="103" customFormat="1" ht="66" customHeight="1">
      <c r="A248" s="391"/>
      <c r="B248" s="107"/>
      <c r="C248" s="269"/>
      <c r="D248" s="91" t="s">
        <v>0</v>
      </c>
      <c r="E248" s="347" t="s">
        <v>98</v>
      </c>
      <c r="F248" s="346"/>
      <c r="G248" s="345"/>
      <c r="H248" s="345"/>
      <c r="I248" s="345"/>
      <c r="J248" s="89"/>
      <c r="K248" s="105">
        <v>2000</v>
      </c>
      <c r="L248" s="105">
        <f t="shared" si="36"/>
        <v>2000</v>
      </c>
      <c r="M248" s="105">
        <v>2000</v>
      </c>
      <c r="N248" s="105">
        <v>0</v>
      </c>
      <c r="O248" s="846">
        <v>0</v>
      </c>
      <c r="P248" s="768" t="s">
        <v>395</v>
      </c>
      <c r="Q248" s="655"/>
    </row>
    <row r="249" spans="1:243" s="103" customFormat="1" ht="68.25" customHeight="1">
      <c r="A249" s="391"/>
      <c r="B249" s="107"/>
      <c r="C249" s="269"/>
      <c r="D249" s="91" t="s">
        <v>0</v>
      </c>
      <c r="E249" s="347" t="s">
        <v>97</v>
      </c>
      <c r="F249" s="346"/>
      <c r="G249" s="345"/>
      <c r="H249" s="345"/>
      <c r="I249" s="345"/>
      <c r="J249" s="89"/>
      <c r="K249" s="105">
        <v>2000</v>
      </c>
      <c r="L249" s="105">
        <f t="shared" si="36"/>
        <v>2000</v>
      </c>
      <c r="M249" s="105">
        <v>2000</v>
      </c>
      <c r="N249" s="105">
        <v>31.94</v>
      </c>
      <c r="O249" s="846">
        <f t="shared" ref="O249:O254" si="37">N249/M249</f>
        <v>1.5970000000000002E-2</v>
      </c>
      <c r="P249" s="768" t="s">
        <v>395</v>
      </c>
      <c r="Q249" s="655"/>
    </row>
    <row r="250" spans="1:243" s="103" customFormat="1" ht="90.75" customHeight="1">
      <c r="A250" s="391"/>
      <c r="B250" s="107"/>
      <c r="C250" s="269"/>
      <c r="D250" s="91" t="s">
        <v>0</v>
      </c>
      <c r="E250" s="347" t="s">
        <v>186</v>
      </c>
      <c r="F250" s="346"/>
      <c r="G250" s="345"/>
      <c r="H250" s="345"/>
      <c r="I250" s="345"/>
      <c r="J250" s="89"/>
      <c r="K250" s="105">
        <v>10000</v>
      </c>
      <c r="L250" s="105">
        <f t="shared" si="36"/>
        <v>10000</v>
      </c>
      <c r="M250" s="105">
        <v>10000</v>
      </c>
      <c r="N250" s="105">
        <f>181.21+756.58</f>
        <v>937.79000000000008</v>
      </c>
      <c r="O250" s="846">
        <f t="shared" si="37"/>
        <v>9.3779000000000001E-2</v>
      </c>
      <c r="P250" s="768" t="s">
        <v>395</v>
      </c>
      <c r="Q250" s="655"/>
    </row>
    <row r="251" spans="1:243" s="427" customFormat="1" ht="94.2" customHeight="1">
      <c r="A251" s="391"/>
      <c r="B251" s="392"/>
      <c r="C251" s="456"/>
      <c r="D251" s="411" t="s">
        <v>0</v>
      </c>
      <c r="E251" s="347" t="s">
        <v>758</v>
      </c>
      <c r="F251" s="597"/>
      <c r="G251" s="598"/>
      <c r="H251" s="598"/>
      <c r="I251" s="598"/>
      <c r="J251" s="413"/>
      <c r="K251" s="628">
        <v>3000</v>
      </c>
      <c r="L251" s="628">
        <f t="shared" si="36"/>
        <v>3000</v>
      </c>
      <c r="M251" s="628">
        <v>3000</v>
      </c>
      <c r="N251" s="628">
        <v>0</v>
      </c>
      <c r="O251" s="858">
        <f t="shared" si="37"/>
        <v>0</v>
      </c>
      <c r="P251" s="768" t="s">
        <v>395</v>
      </c>
      <c r="Q251" s="655"/>
    </row>
    <row r="252" spans="1:243" s="318" customFormat="1" ht="82.5" customHeight="1">
      <c r="A252" s="321">
        <v>7</v>
      </c>
      <c r="B252" s="336">
        <v>751</v>
      </c>
      <c r="C252" s="335"/>
      <c r="D252" s="334"/>
      <c r="E252" s="320" t="s">
        <v>96</v>
      </c>
      <c r="F252" s="506">
        <f t="shared" ref="F252:K253" si="38">F253</f>
        <v>3370</v>
      </c>
      <c r="G252" s="333">
        <f t="shared" si="38"/>
        <v>0</v>
      </c>
      <c r="H252" s="333">
        <f t="shared" si="38"/>
        <v>0</v>
      </c>
      <c r="I252" s="333">
        <f t="shared" si="38"/>
        <v>0</v>
      </c>
      <c r="J252" s="333">
        <f t="shared" si="38"/>
        <v>0</v>
      </c>
      <c r="K252" s="333">
        <f t="shared" si="38"/>
        <v>0</v>
      </c>
      <c r="L252" s="333">
        <f t="shared" si="36"/>
        <v>3370</v>
      </c>
      <c r="M252" s="333">
        <f>SUM(G252:L252)</f>
        <v>3370</v>
      </c>
      <c r="N252" s="333">
        <f>N253</f>
        <v>1443.55</v>
      </c>
      <c r="O252" s="859">
        <f t="shared" si="37"/>
        <v>0.42835311572700296</v>
      </c>
      <c r="P252" s="778" t="s">
        <v>395</v>
      </c>
      <c r="Q252" s="662"/>
      <c r="FT252" s="319"/>
      <c r="FU252" s="319"/>
      <c r="FV252" s="319"/>
      <c r="FW252" s="319"/>
      <c r="FX252" s="319"/>
      <c r="FY252" s="319"/>
      <c r="FZ252" s="319"/>
      <c r="GA252" s="319"/>
      <c r="GB252" s="319"/>
      <c r="GC252" s="319"/>
      <c r="GD252" s="319"/>
      <c r="GE252" s="319"/>
      <c r="GF252" s="319"/>
      <c r="GG252" s="319"/>
      <c r="GH252" s="319"/>
      <c r="GI252" s="319"/>
      <c r="GJ252" s="319"/>
      <c r="GK252" s="319"/>
      <c r="GL252" s="319"/>
      <c r="GM252" s="319"/>
      <c r="GN252" s="319"/>
      <c r="GO252" s="319"/>
      <c r="GP252" s="319"/>
      <c r="GQ252" s="319"/>
      <c r="GR252" s="319"/>
      <c r="GS252" s="319"/>
      <c r="GT252" s="319"/>
      <c r="GU252" s="319"/>
      <c r="GV252" s="319"/>
      <c r="GW252" s="319"/>
      <c r="GX252" s="319"/>
      <c r="GY252" s="319"/>
      <c r="GZ252" s="319"/>
      <c r="HA252" s="319"/>
      <c r="HB252" s="319"/>
      <c r="HC252" s="319"/>
      <c r="HD252" s="319"/>
      <c r="HE252" s="319"/>
      <c r="HF252" s="319"/>
      <c r="HG252" s="319"/>
      <c r="HH252" s="319"/>
      <c r="HI252" s="319"/>
      <c r="HJ252" s="319"/>
      <c r="HK252" s="319"/>
      <c r="HL252" s="319"/>
      <c r="HM252" s="319"/>
      <c r="HN252" s="319"/>
      <c r="HO252" s="319"/>
      <c r="HP252" s="319"/>
      <c r="HQ252" s="319"/>
      <c r="HR252" s="319"/>
      <c r="HS252" s="319"/>
      <c r="HT252" s="319"/>
      <c r="HU252" s="319"/>
      <c r="HV252" s="319"/>
      <c r="HW252" s="319"/>
      <c r="HX252" s="319"/>
      <c r="HY252" s="319"/>
      <c r="HZ252" s="319"/>
      <c r="IA252" s="319"/>
      <c r="IB252" s="319"/>
      <c r="IC252" s="319"/>
      <c r="ID252" s="319"/>
      <c r="IE252" s="319"/>
      <c r="IF252" s="319"/>
      <c r="IG252" s="319"/>
      <c r="IH252" s="319"/>
      <c r="II252" s="319"/>
    </row>
    <row r="253" spans="1:243" s="330" customFormat="1" ht="68.25" customHeight="1">
      <c r="A253" s="388"/>
      <c r="B253" s="332">
        <v>75101</v>
      </c>
      <c r="C253" s="244"/>
      <c r="D253" s="243"/>
      <c r="E253" s="331" t="s">
        <v>95</v>
      </c>
      <c r="F253" s="507">
        <f t="shared" si="38"/>
        <v>3370</v>
      </c>
      <c r="G253" s="343">
        <f t="shared" si="38"/>
        <v>0</v>
      </c>
      <c r="H253" s="343">
        <f t="shared" si="38"/>
        <v>0</v>
      </c>
      <c r="I253" s="343">
        <f t="shared" si="38"/>
        <v>0</v>
      </c>
      <c r="J253" s="343">
        <f t="shared" si="38"/>
        <v>0</v>
      </c>
      <c r="K253" s="343">
        <f t="shared" si="38"/>
        <v>0</v>
      </c>
      <c r="L253" s="343">
        <f t="shared" si="36"/>
        <v>3370</v>
      </c>
      <c r="M253" s="343">
        <f t="shared" ref="M253:M254" si="39">SUM(G253:L253)</f>
        <v>3370</v>
      </c>
      <c r="N253" s="343">
        <f>N254</f>
        <v>1443.55</v>
      </c>
      <c r="O253" s="860">
        <f t="shared" si="37"/>
        <v>0.42835311572700296</v>
      </c>
      <c r="P253" s="767" t="s">
        <v>395</v>
      </c>
      <c r="Q253" s="652"/>
    </row>
    <row r="254" spans="1:243" s="337" customFormat="1" ht="68.25" customHeight="1">
      <c r="A254" s="407"/>
      <c r="B254" s="342"/>
      <c r="C254" s="341">
        <v>1</v>
      </c>
      <c r="D254" s="340"/>
      <c r="E254" s="339" t="s">
        <v>94</v>
      </c>
      <c r="F254" s="504">
        <v>3370</v>
      </c>
      <c r="G254" s="338"/>
      <c r="H254" s="338"/>
      <c r="I254" s="338"/>
      <c r="J254" s="338"/>
      <c r="K254" s="505">
        <v>0</v>
      </c>
      <c r="L254" s="338">
        <f t="shared" si="36"/>
        <v>3370</v>
      </c>
      <c r="M254" s="338">
        <f t="shared" si="39"/>
        <v>3370</v>
      </c>
      <c r="N254" s="338">
        <v>1443.55</v>
      </c>
      <c r="O254" s="855">
        <f t="shared" si="37"/>
        <v>0.42835311572700296</v>
      </c>
      <c r="P254" s="771" t="s">
        <v>395</v>
      </c>
      <c r="Q254" s="648"/>
    </row>
    <row r="255" spans="1:243" s="318" customFormat="1" ht="68.25" customHeight="1">
      <c r="A255" s="321">
        <v>8</v>
      </c>
      <c r="B255" s="336">
        <v>752</v>
      </c>
      <c r="C255" s="335"/>
      <c r="D255" s="334"/>
      <c r="E255" s="320" t="s">
        <v>93</v>
      </c>
      <c r="F255" s="506">
        <f t="shared" ref="F255:K255" si="40">F256</f>
        <v>0</v>
      </c>
      <c r="G255" s="333">
        <f t="shared" si="40"/>
        <v>0</v>
      </c>
      <c r="H255" s="333">
        <f t="shared" si="40"/>
        <v>0</v>
      </c>
      <c r="I255" s="333">
        <f t="shared" si="40"/>
        <v>0</v>
      </c>
      <c r="J255" s="333">
        <f t="shared" si="40"/>
        <v>0</v>
      </c>
      <c r="K255" s="333">
        <f t="shared" si="40"/>
        <v>4500</v>
      </c>
      <c r="L255" s="333">
        <f t="shared" si="36"/>
        <v>4500</v>
      </c>
      <c r="M255" s="333">
        <f>M256</f>
        <v>4500</v>
      </c>
      <c r="N255" s="333">
        <f>N256</f>
        <v>0</v>
      </c>
      <c r="O255" s="859">
        <v>0</v>
      </c>
      <c r="P255" s="778" t="s">
        <v>395</v>
      </c>
      <c r="Q255" s="662"/>
      <c r="FT255" s="319"/>
      <c r="FU255" s="319"/>
      <c r="FV255" s="319"/>
      <c r="FW255" s="319"/>
      <c r="FX255" s="319"/>
      <c r="FY255" s="319"/>
      <c r="FZ255" s="319"/>
      <c r="GA255" s="319"/>
      <c r="GB255" s="319"/>
      <c r="GC255" s="319"/>
      <c r="GD255" s="319"/>
      <c r="GE255" s="319"/>
      <c r="GF255" s="319"/>
      <c r="GG255" s="319"/>
      <c r="GH255" s="319"/>
      <c r="GI255" s="319"/>
      <c r="GJ255" s="319"/>
      <c r="GK255" s="319"/>
      <c r="GL255" s="319"/>
      <c r="GM255" s="319"/>
      <c r="GN255" s="319"/>
      <c r="GO255" s="319"/>
      <c r="GP255" s="319"/>
      <c r="GQ255" s="319"/>
      <c r="GR255" s="319"/>
      <c r="GS255" s="319"/>
      <c r="GT255" s="319"/>
      <c r="GU255" s="319"/>
      <c r="GV255" s="319"/>
      <c r="GW255" s="319"/>
      <c r="GX255" s="319"/>
      <c r="GY255" s="319"/>
      <c r="GZ255" s="319"/>
      <c r="HA255" s="319"/>
      <c r="HB255" s="319"/>
      <c r="HC255" s="319"/>
      <c r="HD255" s="319"/>
      <c r="HE255" s="319"/>
      <c r="HF255" s="319"/>
      <c r="HG255" s="319"/>
      <c r="HH255" s="319"/>
      <c r="HI255" s="319"/>
      <c r="HJ255" s="319"/>
      <c r="HK255" s="319"/>
      <c r="HL255" s="319"/>
      <c r="HM255" s="319"/>
      <c r="HN255" s="319"/>
      <c r="HO255" s="319"/>
      <c r="HP255" s="319"/>
      <c r="HQ255" s="319"/>
      <c r="HR255" s="319"/>
      <c r="HS255" s="319"/>
      <c r="HT255" s="319"/>
      <c r="HU255" s="319"/>
      <c r="HV255" s="319"/>
      <c r="HW255" s="319"/>
      <c r="HX255" s="319"/>
      <c r="HY255" s="319"/>
      <c r="HZ255" s="319"/>
      <c r="IA255" s="319"/>
      <c r="IB255" s="319"/>
      <c r="IC255" s="319"/>
      <c r="ID255" s="319"/>
      <c r="IE255" s="319"/>
      <c r="IF255" s="319"/>
      <c r="IG255" s="319"/>
      <c r="IH255" s="319"/>
      <c r="II255" s="319"/>
    </row>
    <row r="256" spans="1:243" s="330" customFormat="1" ht="68.25" customHeight="1">
      <c r="A256" s="388"/>
      <c r="B256" s="332">
        <v>75212</v>
      </c>
      <c r="C256" s="244"/>
      <c r="D256" s="243"/>
      <c r="E256" s="331" t="s">
        <v>92</v>
      </c>
      <c r="F256" s="507">
        <f t="shared" ref="F256:K256" si="41">SUM(F257:F261)</f>
        <v>0</v>
      </c>
      <c r="G256" s="507">
        <f t="shared" si="41"/>
        <v>0</v>
      </c>
      <c r="H256" s="507">
        <f t="shared" si="41"/>
        <v>0</v>
      </c>
      <c r="I256" s="507">
        <f t="shared" si="41"/>
        <v>0</v>
      </c>
      <c r="J256" s="507">
        <f t="shared" si="41"/>
        <v>0</v>
      </c>
      <c r="K256" s="507">
        <f t="shared" si="41"/>
        <v>4500</v>
      </c>
      <c r="L256" s="92">
        <f t="shared" si="36"/>
        <v>4500</v>
      </c>
      <c r="M256" s="92">
        <f>SUM(M257:M261)</f>
        <v>4500</v>
      </c>
      <c r="N256" s="92">
        <f>N257+N259+N261</f>
        <v>0</v>
      </c>
      <c r="O256" s="755">
        <f>N256/M256</f>
        <v>0</v>
      </c>
      <c r="P256" s="767" t="s">
        <v>395</v>
      </c>
      <c r="Q256" s="652"/>
    </row>
    <row r="257" spans="1:243" s="103" customFormat="1" ht="68.25" customHeight="1">
      <c r="A257" s="391"/>
      <c r="B257" s="329"/>
      <c r="C257" s="241">
        <v>1</v>
      </c>
      <c r="D257" s="328"/>
      <c r="E257" s="327" t="s">
        <v>91</v>
      </c>
      <c r="F257" s="508"/>
      <c r="G257" s="326"/>
      <c r="H257" s="326"/>
      <c r="I257" s="326"/>
      <c r="J257" s="326"/>
      <c r="K257" s="505">
        <v>3000</v>
      </c>
      <c r="L257" s="128">
        <f t="shared" si="36"/>
        <v>3000</v>
      </c>
      <c r="M257" s="128">
        <v>3000</v>
      </c>
      <c r="N257" s="128">
        <v>0</v>
      </c>
      <c r="O257" s="861">
        <v>0</v>
      </c>
      <c r="P257" s="768" t="s">
        <v>395</v>
      </c>
      <c r="Q257" s="655"/>
    </row>
    <row r="258" spans="1:243" s="907" customFormat="1" ht="56.25" customHeight="1">
      <c r="A258" s="903"/>
      <c r="B258" s="688"/>
      <c r="C258" s="904"/>
      <c r="D258" s="905"/>
      <c r="E258" s="1261" t="s">
        <v>396</v>
      </c>
      <c r="F258" s="1261"/>
      <c r="G258" s="1261"/>
      <c r="H258" s="1261"/>
      <c r="I258" s="1261"/>
      <c r="J258" s="1261"/>
      <c r="K258" s="1261"/>
      <c r="L258" s="1261"/>
      <c r="M258" s="1261"/>
      <c r="N258" s="1261"/>
      <c r="O258" s="1262"/>
      <c r="P258" s="906"/>
      <c r="Q258" s="756"/>
      <c r="R258" s="649"/>
      <c r="S258" s="649"/>
    </row>
    <row r="259" spans="1:243" s="427" customFormat="1" ht="95.25" customHeight="1">
      <c r="A259" s="1211"/>
      <c r="B259" s="1221"/>
      <c r="C259" s="593">
        <v>2</v>
      </c>
      <c r="D259" s="689"/>
      <c r="E259" s="698" t="s">
        <v>90</v>
      </c>
      <c r="F259" s="1222"/>
      <c r="G259" s="1223"/>
      <c r="H259" s="1223"/>
      <c r="I259" s="1223"/>
      <c r="J259" s="1223"/>
      <c r="K259" s="1224">
        <v>1000</v>
      </c>
      <c r="L259" s="589">
        <f t="shared" si="36"/>
        <v>1000</v>
      </c>
      <c r="M259" s="589">
        <v>1000</v>
      </c>
      <c r="N259" s="589">
        <v>0</v>
      </c>
      <c r="O259" s="826">
        <v>0</v>
      </c>
      <c r="P259" s="768" t="s">
        <v>395</v>
      </c>
      <c r="Q259" s="655"/>
    </row>
    <row r="260" spans="1:243" s="907" customFormat="1" ht="61.5" customHeight="1">
      <c r="A260" s="903"/>
      <c r="B260" s="688"/>
      <c r="C260" s="904"/>
      <c r="D260" s="905"/>
      <c r="E260" s="1261" t="s">
        <v>397</v>
      </c>
      <c r="F260" s="1261"/>
      <c r="G260" s="1261"/>
      <c r="H260" s="1261"/>
      <c r="I260" s="1261"/>
      <c r="J260" s="1261"/>
      <c r="K260" s="1261"/>
      <c r="L260" s="1261"/>
      <c r="M260" s="1261"/>
      <c r="N260" s="1261"/>
      <c r="O260" s="1262"/>
      <c r="P260" s="906"/>
      <c r="Q260" s="756"/>
      <c r="R260" s="649"/>
      <c r="S260" s="649"/>
    </row>
    <row r="261" spans="1:243" s="322" customFormat="1" ht="71.25" customHeight="1">
      <c r="A261" s="391"/>
      <c r="B261" s="325"/>
      <c r="C261" s="233">
        <v>3</v>
      </c>
      <c r="D261" s="324"/>
      <c r="E261" s="323" t="s">
        <v>89</v>
      </c>
      <c r="F261" s="492"/>
      <c r="G261" s="232"/>
      <c r="H261" s="232"/>
      <c r="I261" s="232"/>
      <c r="J261" s="232"/>
      <c r="K261" s="509">
        <v>500</v>
      </c>
      <c r="L261" s="510">
        <f t="shared" si="36"/>
        <v>500</v>
      </c>
      <c r="M261" s="510">
        <v>500</v>
      </c>
      <c r="N261" s="510">
        <v>0</v>
      </c>
      <c r="O261" s="863">
        <v>0</v>
      </c>
      <c r="P261" s="767" t="s">
        <v>395</v>
      </c>
      <c r="Q261" s="652"/>
    </row>
    <row r="262" spans="1:243" s="318" customFormat="1" ht="68.25" customHeight="1">
      <c r="A262" s="321">
        <v>9</v>
      </c>
      <c r="B262" s="336">
        <v>754</v>
      </c>
      <c r="C262" s="335"/>
      <c r="D262" s="334"/>
      <c r="E262" s="320" t="s">
        <v>88</v>
      </c>
      <c r="F262" s="333" t="e">
        <f t="shared" ref="F262:N262" si="42">F263+F266+F272+F275+F290+F293</f>
        <v>#REF!</v>
      </c>
      <c r="G262" s="333" t="e">
        <f t="shared" si="42"/>
        <v>#REF!</v>
      </c>
      <c r="H262" s="333" t="e">
        <f t="shared" si="42"/>
        <v>#REF!</v>
      </c>
      <c r="I262" s="333" t="e">
        <f t="shared" si="42"/>
        <v>#REF!</v>
      </c>
      <c r="J262" s="333" t="e">
        <f t="shared" si="42"/>
        <v>#REF!</v>
      </c>
      <c r="K262" s="333" t="e">
        <f t="shared" si="42"/>
        <v>#REF!</v>
      </c>
      <c r="L262" s="333">
        <f t="shared" si="42"/>
        <v>933070.61</v>
      </c>
      <c r="M262" s="333">
        <f t="shared" si="42"/>
        <v>944470.61</v>
      </c>
      <c r="N262" s="333">
        <f t="shared" si="42"/>
        <v>295572.95</v>
      </c>
      <c r="O262" s="859">
        <f>N262/M262</f>
        <v>0.3129509239043447</v>
      </c>
      <c r="P262" s="778" t="s">
        <v>395</v>
      </c>
      <c r="Q262" s="662"/>
      <c r="FT262" s="319"/>
      <c r="FU262" s="319"/>
      <c r="FV262" s="319"/>
      <c r="FW262" s="319"/>
      <c r="FX262" s="319"/>
      <c r="FY262" s="319"/>
      <c r="FZ262" s="319"/>
      <c r="GA262" s="319"/>
      <c r="GB262" s="319"/>
      <c r="GC262" s="319"/>
      <c r="GD262" s="319"/>
      <c r="GE262" s="319"/>
      <c r="GF262" s="319"/>
      <c r="GG262" s="319"/>
      <c r="GH262" s="319"/>
      <c r="GI262" s="319"/>
      <c r="GJ262" s="319"/>
      <c r="GK262" s="319"/>
      <c r="GL262" s="319"/>
      <c r="GM262" s="319"/>
      <c r="GN262" s="319"/>
      <c r="GO262" s="319"/>
      <c r="GP262" s="319"/>
      <c r="GQ262" s="319"/>
      <c r="GR262" s="319"/>
      <c r="GS262" s="319"/>
      <c r="GT262" s="319"/>
      <c r="GU262" s="319"/>
      <c r="GV262" s="319"/>
      <c r="GW262" s="319"/>
      <c r="GX262" s="319"/>
      <c r="GY262" s="319"/>
      <c r="GZ262" s="319"/>
      <c r="HA262" s="319"/>
      <c r="HB262" s="319"/>
      <c r="HC262" s="319"/>
      <c r="HD262" s="319"/>
      <c r="HE262" s="319"/>
      <c r="HF262" s="319"/>
      <c r="HG262" s="319"/>
      <c r="HH262" s="319"/>
      <c r="HI262" s="319"/>
      <c r="HJ262" s="319"/>
      <c r="HK262" s="319"/>
      <c r="HL262" s="319"/>
      <c r="HM262" s="319"/>
      <c r="HN262" s="319"/>
      <c r="HO262" s="319"/>
      <c r="HP262" s="319"/>
      <c r="HQ262" s="319"/>
      <c r="HR262" s="319"/>
      <c r="HS262" s="319"/>
      <c r="HT262" s="319"/>
      <c r="HU262" s="319"/>
      <c r="HV262" s="319"/>
      <c r="HW262" s="319"/>
      <c r="HX262" s="319"/>
      <c r="HY262" s="319"/>
      <c r="HZ262" s="319"/>
      <c r="IA262" s="319"/>
      <c r="IB262" s="319"/>
      <c r="IC262" s="319"/>
      <c r="ID262" s="319"/>
      <c r="IE262" s="319"/>
      <c r="IF262" s="319"/>
      <c r="IG262" s="319"/>
      <c r="IH262" s="319"/>
      <c r="II262" s="319"/>
    </row>
    <row r="263" spans="1:243" s="100" customFormat="1" ht="68.25" customHeight="1">
      <c r="A263" s="317"/>
      <c r="B263" s="163">
        <v>75405</v>
      </c>
      <c r="C263" s="74"/>
      <c r="D263" s="73"/>
      <c r="E263" s="316" t="s">
        <v>327</v>
      </c>
      <c r="F263" s="409">
        <f>F264</f>
        <v>0</v>
      </c>
      <c r="G263" s="409">
        <f t="shared" ref="G263:K263" si="43">G264</f>
        <v>0</v>
      </c>
      <c r="H263" s="409">
        <f t="shared" si="43"/>
        <v>0</v>
      </c>
      <c r="I263" s="409">
        <f t="shared" si="43"/>
        <v>0</v>
      </c>
      <c r="J263" s="409">
        <f t="shared" si="43"/>
        <v>0</v>
      </c>
      <c r="K263" s="409">
        <f t="shared" si="43"/>
        <v>15000</v>
      </c>
      <c r="L263" s="92">
        <f t="shared" ref="L263:L267" si="44">SUM(F263:K263)</f>
        <v>15000</v>
      </c>
      <c r="M263" s="92">
        <f>M264</f>
        <v>15000</v>
      </c>
      <c r="N263" s="92">
        <v>0</v>
      </c>
      <c r="O263" s="755">
        <v>0</v>
      </c>
      <c r="P263" s="775" t="s">
        <v>395</v>
      </c>
      <c r="Q263" s="659"/>
      <c r="FT263" s="315"/>
      <c r="FU263" s="315"/>
      <c r="FV263" s="315"/>
      <c r="FW263" s="315"/>
      <c r="FX263" s="315"/>
      <c r="FY263" s="315"/>
      <c r="FZ263" s="315"/>
      <c r="GA263" s="315"/>
      <c r="GB263" s="315"/>
      <c r="GC263" s="315"/>
      <c r="GD263" s="315"/>
      <c r="GE263" s="315"/>
      <c r="GF263" s="315"/>
      <c r="GG263" s="315"/>
      <c r="GH263" s="315"/>
      <c r="GI263" s="315"/>
      <c r="GJ263" s="315"/>
      <c r="GK263" s="315"/>
      <c r="GL263" s="315"/>
      <c r="GM263" s="315"/>
      <c r="GN263" s="315"/>
      <c r="GO263" s="315"/>
      <c r="GP263" s="315"/>
      <c r="GQ263" s="315"/>
      <c r="GR263" s="315"/>
      <c r="GS263" s="315"/>
      <c r="GT263" s="315"/>
      <c r="GU263" s="315"/>
      <c r="GV263" s="315"/>
      <c r="GW263" s="315"/>
      <c r="GX263" s="315"/>
      <c r="GY263" s="315"/>
      <c r="GZ263" s="315"/>
      <c r="HA263" s="315"/>
      <c r="HB263" s="315"/>
      <c r="HC263" s="315"/>
      <c r="HD263" s="315"/>
      <c r="HE263" s="315"/>
      <c r="HF263" s="315"/>
      <c r="HG263" s="315"/>
      <c r="HH263" s="315"/>
      <c r="HI263" s="315"/>
      <c r="HJ263" s="315"/>
      <c r="HK263" s="315"/>
      <c r="HL263" s="315"/>
      <c r="HM263" s="315"/>
      <c r="HN263" s="315"/>
      <c r="HO263" s="315"/>
      <c r="HP263" s="315"/>
      <c r="HQ263" s="315"/>
      <c r="HR263" s="315"/>
      <c r="HS263" s="315"/>
      <c r="HT263" s="315"/>
      <c r="HU263" s="315"/>
      <c r="HV263" s="315"/>
      <c r="HW263" s="315"/>
      <c r="HX263" s="315"/>
      <c r="HY263" s="315"/>
      <c r="HZ263" s="315"/>
      <c r="IA263" s="315"/>
      <c r="IB263" s="315"/>
      <c r="IC263" s="315"/>
      <c r="ID263" s="315"/>
      <c r="IE263" s="315"/>
      <c r="IF263" s="315"/>
      <c r="IG263" s="315"/>
      <c r="IH263" s="315"/>
      <c r="II263" s="315"/>
    </row>
    <row r="264" spans="1:243" s="427" customFormat="1" ht="71.25" customHeight="1">
      <c r="A264" s="1226"/>
      <c r="B264" s="1221"/>
      <c r="C264" s="1227">
        <v>1</v>
      </c>
      <c r="D264" s="1228"/>
      <c r="E264" s="90" t="s">
        <v>358</v>
      </c>
      <c r="F264" s="1208"/>
      <c r="G264" s="1229"/>
      <c r="H264" s="1229"/>
      <c r="I264" s="1229"/>
      <c r="J264" s="1229"/>
      <c r="K264" s="1230">
        <v>15000</v>
      </c>
      <c r="L264" s="1231">
        <f t="shared" si="44"/>
        <v>15000</v>
      </c>
      <c r="M264" s="1231">
        <v>15000</v>
      </c>
      <c r="N264" s="1231">
        <v>0</v>
      </c>
      <c r="O264" s="1232">
        <v>0</v>
      </c>
      <c r="P264" s="768" t="s">
        <v>395</v>
      </c>
      <c r="Q264" s="655"/>
    </row>
    <row r="265" spans="1:243" s="322" customFormat="1" ht="54" customHeight="1">
      <c r="A265" s="1211"/>
      <c r="B265" s="325"/>
      <c r="C265" s="1236"/>
      <c r="D265" s="1237"/>
      <c r="E265" s="1187" t="s">
        <v>759</v>
      </c>
      <c r="F265" s="1225"/>
      <c r="G265" s="1225"/>
      <c r="H265" s="1225"/>
      <c r="I265" s="1225"/>
      <c r="J265" s="1225"/>
      <c r="K265" s="1233"/>
      <c r="L265" s="1234"/>
      <c r="M265" s="1234"/>
      <c r="N265" s="1234"/>
      <c r="O265" s="1235"/>
      <c r="P265" s="767"/>
      <c r="Q265" s="652"/>
    </row>
    <row r="266" spans="1:243" s="100" customFormat="1" ht="68.25" customHeight="1">
      <c r="A266" s="732"/>
      <c r="B266" s="163">
        <v>75412</v>
      </c>
      <c r="C266" s="74"/>
      <c r="D266" s="73"/>
      <c r="E266" s="316" t="s">
        <v>87</v>
      </c>
      <c r="F266" s="409">
        <f t="shared" ref="F266:K266" si="45">F267+F268</f>
        <v>0</v>
      </c>
      <c r="G266" s="409">
        <f t="shared" si="45"/>
        <v>0</v>
      </c>
      <c r="H266" s="409">
        <f t="shared" si="45"/>
        <v>0</v>
      </c>
      <c r="I266" s="409">
        <f t="shared" si="45"/>
        <v>0</v>
      </c>
      <c r="J266" s="409">
        <f t="shared" si="45"/>
        <v>0</v>
      </c>
      <c r="K266" s="409">
        <f t="shared" si="45"/>
        <v>89563.6</v>
      </c>
      <c r="L266" s="92">
        <f t="shared" si="44"/>
        <v>89563.6</v>
      </c>
      <c r="M266" s="92">
        <f>M267+M268+M270</f>
        <v>100963.6</v>
      </c>
      <c r="N266" s="92">
        <f>N267+N268+N270</f>
        <v>38607.160000000003</v>
      </c>
      <c r="O266" s="755">
        <f>N266/M266</f>
        <v>0.38238691964232657</v>
      </c>
      <c r="P266" s="775" t="s">
        <v>395</v>
      </c>
      <c r="Q266" s="659"/>
      <c r="FT266" s="315"/>
      <c r="FU266" s="315"/>
      <c r="FV266" s="315"/>
      <c r="FW266" s="315"/>
      <c r="FX266" s="315"/>
      <c r="FY266" s="315"/>
      <c r="FZ266" s="315"/>
      <c r="GA266" s="315"/>
      <c r="GB266" s="315"/>
      <c r="GC266" s="315"/>
      <c r="GD266" s="315"/>
      <c r="GE266" s="315"/>
      <c r="GF266" s="315"/>
      <c r="GG266" s="315"/>
      <c r="GH266" s="315"/>
      <c r="GI266" s="315"/>
      <c r="GJ266" s="315"/>
      <c r="GK266" s="315"/>
      <c r="GL266" s="315"/>
      <c r="GM266" s="315"/>
      <c r="GN266" s="315"/>
      <c r="GO266" s="315"/>
      <c r="GP266" s="315"/>
      <c r="GQ266" s="315"/>
      <c r="GR266" s="315"/>
      <c r="GS266" s="315"/>
      <c r="GT266" s="315"/>
      <c r="GU266" s="315"/>
      <c r="GV266" s="315"/>
      <c r="GW266" s="315"/>
      <c r="GX266" s="315"/>
      <c r="GY266" s="315"/>
      <c r="GZ266" s="315"/>
      <c r="HA266" s="315"/>
      <c r="HB266" s="315"/>
      <c r="HC266" s="315"/>
      <c r="HD266" s="315"/>
      <c r="HE266" s="315"/>
      <c r="HF266" s="315"/>
      <c r="HG266" s="315"/>
      <c r="HH266" s="315"/>
      <c r="HI266" s="315"/>
      <c r="HJ266" s="315"/>
      <c r="HK266" s="315"/>
      <c r="HL266" s="315"/>
      <c r="HM266" s="315"/>
      <c r="HN266" s="315"/>
      <c r="HO266" s="315"/>
      <c r="HP266" s="315"/>
      <c r="HQ266" s="315"/>
      <c r="HR266" s="315"/>
      <c r="HS266" s="315"/>
      <c r="HT266" s="315"/>
      <c r="HU266" s="315"/>
      <c r="HV266" s="315"/>
      <c r="HW266" s="315"/>
      <c r="HX266" s="315"/>
      <c r="HY266" s="315"/>
      <c r="HZ266" s="315"/>
      <c r="IA266" s="315"/>
      <c r="IB266" s="315"/>
      <c r="IC266" s="315"/>
      <c r="ID266" s="315"/>
      <c r="IE266" s="315"/>
      <c r="IF266" s="315"/>
      <c r="IG266" s="315"/>
      <c r="IH266" s="315"/>
      <c r="II266" s="315"/>
    </row>
    <row r="267" spans="1:243" s="314" customFormat="1" ht="68.25" customHeight="1">
      <c r="A267" s="388"/>
      <c r="B267" s="125"/>
      <c r="C267" s="241">
        <v>1</v>
      </c>
      <c r="D267" s="355"/>
      <c r="E267" s="479" t="s">
        <v>158</v>
      </c>
      <c r="F267" s="447"/>
      <c r="G267" s="419"/>
      <c r="H267" s="419"/>
      <c r="I267" s="419"/>
      <c r="J267" s="419"/>
      <c r="K267" s="386">
        <f>80000</f>
        <v>80000</v>
      </c>
      <c r="L267" s="386">
        <f t="shared" si="44"/>
        <v>80000</v>
      </c>
      <c r="M267" s="386">
        <v>86955</v>
      </c>
      <c r="N267" s="386">
        <v>38607.160000000003</v>
      </c>
      <c r="O267" s="851">
        <f>N267/M267</f>
        <v>0.443990109826922</v>
      </c>
      <c r="P267" s="766" t="s">
        <v>395</v>
      </c>
      <c r="Q267" s="649"/>
    </row>
    <row r="268" spans="1:243" s="427" customFormat="1" ht="69" customHeight="1">
      <c r="A268" s="1211"/>
      <c r="B268" s="1221"/>
      <c r="C268" s="1241">
        <v>2</v>
      </c>
      <c r="D268" s="1242"/>
      <c r="E268" s="698" t="s">
        <v>295</v>
      </c>
      <c r="F268" s="1222"/>
      <c r="G268" s="1223"/>
      <c r="H268" s="1223"/>
      <c r="I268" s="1223"/>
      <c r="J268" s="1223"/>
      <c r="K268" s="1224">
        <v>9563.6</v>
      </c>
      <c r="L268" s="589">
        <f t="shared" ref="L268:L274" si="46">SUM(F268:K268)</f>
        <v>9563.6</v>
      </c>
      <c r="M268" s="589">
        <v>9563.6</v>
      </c>
      <c r="N268" s="589">
        <v>0</v>
      </c>
      <c r="O268" s="826">
        <v>0</v>
      </c>
      <c r="P268" s="768" t="s">
        <v>395</v>
      </c>
      <c r="Q268" s="655"/>
    </row>
    <row r="269" spans="1:243" s="427" customFormat="1" ht="44.4" customHeight="1">
      <c r="A269" s="1211"/>
      <c r="B269" s="1221"/>
      <c r="C269" s="1243"/>
      <c r="D269" s="1238"/>
      <c r="E269" s="1188" t="s">
        <v>759</v>
      </c>
      <c r="F269" s="1239"/>
      <c r="G269" s="1240"/>
      <c r="H269" s="1240"/>
      <c r="I269" s="1240"/>
      <c r="J269" s="1240"/>
      <c r="K269" s="1244"/>
      <c r="L269" s="1245"/>
      <c r="M269" s="1245"/>
      <c r="N269" s="1245"/>
      <c r="O269" s="1246"/>
      <c r="P269" s="768"/>
      <c r="Q269" s="655"/>
    </row>
    <row r="270" spans="1:243" s="427" customFormat="1" ht="69" customHeight="1">
      <c r="A270" s="1211"/>
      <c r="B270" s="1221"/>
      <c r="C270" s="630">
        <v>3</v>
      </c>
      <c r="D270" s="1247"/>
      <c r="E270" s="698" t="s">
        <v>380</v>
      </c>
      <c r="F270" s="1222"/>
      <c r="G270" s="1223"/>
      <c r="H270" s="1223"/>
      <c r="I270" s="1223"/>
      <c r="J270" s="1223"/>
      <c r="K270" s="1224">
        <v>9563.6</v>
      </c>
      <c r="L270" s="589">
        <v>0</v>
      </c>
      <c r="M270" s="589">
        <v>4445</v>
      </c>
      <c r="N270" s="589">
        <v>0</v>
      </c>
      <c r="O270" s="826">
        <v>0</v>
      </c>
      <c r="P270" s="768" t="s">
        <v>395</v>
      </c>
      <c r="Q270" s="655"/>
    </row>
    <row r="271" spans="1:243" s="427" customFormat="1" ht="44.4" customHeight="1">
      <c r="A271" s="1211"/>
      <c r="B271" s="1221"/>
      <c r="C271" s="1243"/>
      <c r="D271" s="1238"/>
      <c r="E271" s="1188" t="s">
        <v>759</v>
      </c>
      <c r="F271" s="1239"/>
      <c r="G271" s="1240"/>
      <c r="H271" s="1240"/>
      <c r="I271" s="1240"/>
      <c r="J271" s="1240"/>
      <c r="K271" s="1244"/>
      <c r="L271" s="1245"/>
      <c r="M271" s="1245"/>
      <c r="N271" s="1245"/>
      <c r="O271" s="1246"/>
      <c r="P271" s="768"/>
      <c r="Q271" s="655"/>
    </row>
    <row r="272" spans="1:243" s="306" customFormat="1" ht="59.25" customHeight="1">
      <c r="A272" s="637"/>
      <c r="B272" s="148">
        <v>75414</v>
      </c>
      <c r="C272" s="147"/>
      <c r="D272" s="308"/>
      <c r="E272" s="307" t="s">
        <v>85</v>
      </c>
      <c r="F272" s="144">
        <f t="shared" ref="F272:K272" si="47">SUM(F273:F274)</f>
        <v>0</v>
      </c>
      <c r="G272" s="144">
        <f t="shared" si="47"/>
        <v>0</v>
      </c>
      <c r="H272" s="144">
        <f t="shared" si="47"/>
        <v>0</v>
      </c>
      <c r="I272" s="144">
        <f t="shared" si="47"/>
        <v>0</v>
      </c>
      <c r="J272" s="144">
        <f t="shared" si="47"/>
        <v>0</v>
      </c>
      <c r="K272" s="144">
        <f t="shared" si="47"/>
        <v>1500</v>
      </c>
      <c r="L272" s="143">
        <f t="shared" si="46"/>
        <v>1500</v>
      </c>
      <c r="M272" s="143">
        <f>M273+M274</f>
        <v>1500</v>
      </c>
      <c r="N272" s="143">
        <v>0</v>
      </c>
      <c r="O272" s="864">
        <v>0</v>
      </c>
      <c r="P272" s="779" t="s">
        <v>395</v>
      </c>
      <c r="Q272" s="663"/>
      <c r="R272" s="108"/>
      <c r="S272" s="108"/>
      <c r="T272" s="108"/>
      <c r="U272" s="108"/>
      <c r="V272" s="108"/>
      <c r="W272" s="108"/>
      <c r="X272" s="108"/>
      <c r="Y272" s="108"/>
      <c r="Z272" s="108"/>
      <c r="AA272" s="108"/>
      <c r="AB272" s="108"/>
      <c r="AC272" s="108"/>
      <c r="AD272" s="108"/>
      <c r="AE272" s="108"/>
      <c r="AF272" s="108"/>
      <c r="AG272" s="108"/>
      <c r="AH272" s="108"/>
      <c r="AI272" s="108"/>
      <c r="AJ272" s="108"/>
      <c r="AK272" s="108"/>
      <c r="AL272" s="108"/>
      <c r="AM272" s="108"/>
      <c r="AN272" s="108"/>
      <c r="AO272" s="108"/>
      <c r="AP272" s="108"/>
      <c r="AQ272" s="108"/>
      <c r="AR272" s="108"/>
      <c r="AS272" s="108"/>
      <c r="AT272" s="108"/>
      <c r="AU272" s="108"/>
      <c r="AV272" s="108"/>
      <c r="AW272" s="108"/>
      <c r="AX272" s="108"/>
      <c r="AY272" s="108"/>
      <c r="AZ272" s="108"/>
      <c r="BA272" s="108"/>
      <c r="BB272" s="108"/>
      <c r="BC272" s="108"/>
      <c r="BD272" s="108"/>
      <c r="BE272" s="108"/>
      <c r="BF272" s="108"/>
      <c r="BG272" s="108"/>
      <c r="BH272" s="108"/>
      <c r="BI272" s="108"/>
      <c r="BJ272" s="108"/>
      <c r="BK272" s="108"/>
      <c r="BL272" s="108"/>
      <c r="BM272" s="108"/>
      <c r="BN272" s="108"/>
      <c r="BO272" s="108"/>
      <c r="BP272" s="108"/>
      <c r="BQ272" s="108"/>
      <c r="BR272" s="108"/>
      <c r="BS272" s="108"/>
      <c r="BT272" s="108"/>
      <c r="BU272" s="108"/>
      <c r="BV272" s="108"/>
      <c r="BW272" s="108"/>
      <c r="BX272" s="108"/>
      <c r="BY272" s="108"/>
      <c r="BZ272" s="108"/>
      <c r="CA272" s="108"/>
      <c r="CB272" s="108"/>
      <c r="CC272" s="108"/>
      <c r="CD272" s="108"/>
      <c r="CE272" s="108"/>
      <c r="CF272" s="108"/>
      <c r="CG272" s="108"/>
      <c r="CH272" s="108"/>
      <c r="CI272" s="108"/>
      <c r="CJ272" s="108"/>
      <c r="CK272" s="108"/>
      <c r="CL272" s="108"/>
      <c r="CM272" s="304"/>
      <c r="CN272" s="304"/>
      <c r="CO272" s="304"/>
      <c r="CP272" s="304"/>
      <c r="CQ272" s="304"/>
      <c r="CR272" s="304"/>
      <c r="CS272" s="304"/>
      <c r="CT272" s="304"/>
      <c r="CU272" s="304"/>
      <c r="CV272" s="304"/>
      <c r="CW272" s="304"/>
      <c r="CX272" s="304"/>
      <c r="CY272" s="108"/>
      <c r="CZ272" s="108"/>
      <c r="DA272" s="108"/>
      <c r="DB272" s="108"/>
      <c r="DC272" s="108"/>
      <c r="DD272" s="108"/>
      <c r="DE272" s="108"/>
      <c r="DF272" s="108"/>
      <c r="DG272" s="108"/>
      <c r="DH272" s="108"/>
      <c r="DI272" s="108"/>
      <c r="DJ272" s="108"/>
      <c r="DK272" s="108"/>
      <c r="DL272" s="108"/>
      <c r="DM272" s="108"/>
      <c r="DN272" s="108"/>
      <c r="DO272" s="108"/>
      <c r="DP272" s="108"/>
      <c r="DQ272" s="108"/>
      <c r="DR272" s="108"/>
      <c r="DS272" s="108"/>
      <c r="DT272" s="108"/>
      <c r="DU272" s="108"/>
      <c r="DV272" s="108"/>
      <c r="DW272" s="108"/>
      <c r="DX272" s="108"/>
      <c r="DY272" s="108"/>
      <c r="DZ272" s="304"/>
      <c r="EA272" s="304"/>
      <c r="EB272" s="304"/>
      <c r="EC272" s="304"/>
      <c r="ED272" s="304"/>
      <c r="EE272" s="304"/>
      <c r="EF272" s="304"/>
      <c r="EG272" s="304"/>
      <c r="EH272" s="304"/>
      <c r="EI272" s="304"/>
      <c r="EJ272" s="304"/>
      <c r="EK272" s="304"/>
      <c r="EL272" s="304"/>
      <c r="EM272" s="304"/>
      <c r="EN272" s="304"/>
      <c r="EO272" s="304"/>
      <c r="EP272" s="304"/>
      <c r="EQ272" s="304"/>
      <c r="ER272" s="304"/>
      <c r="ES272" s="108"/>
      <c r="ET272" s="108"/>
      <c r="EU272" s="108"/>
      <c r="EV272" s="108"/>
      <c r="EW272" s="108"/>
      <c r="EX272" s="108"/>
      <c r="EY272" s="108"/>
      <c r="EZ272" s="108"/>
      <c r="FA272" s="108"/>
      <c r="FB272" s="108"/>
      <c r="FC272" s="108"/>
      <c r="FD272" s="108"/>
      <c r="FE272" s="108"/>
      <c r="FF272" s="108"/>
      <c r="FG272" s="108"/>
      <c r="FH272" s="108"/>
      <c r="FI272" s="108"/>
      <c r="FJ272" s="108"/>
      <c r="FK272" s="108"/>
      <c r="FL272" s="108"/>
      <c r="FM272" s="108"/>
      <c r="FN272" s="108"/>
      <c r="FO272" s="108"/>
      <c r="FP272" s="108"/>
      <c r="FQ272" s="108"/>
      <c r="FR272" s="108"/>
      <c r="FS272" s="108"/>
      <c r="FT272" s="108"/>
      <c r="FU272" s="108"/>
      <c r="FV272" s="108"/>
    </row>
    <row r="273" spans="1:178" s="94" customFormat="1" ht="59.25" customHeight="1">
      <c r="A273" s="638"/>
      <c r="B273" s="125"/>
      <c r="C273" s="23">
        <v>1</v>
      </c>
      <c r="D273" s="130"/>
      <c r="E273" s="90" t="s">
        <v>253</v>
      </c>
      <c r="F273" s="313"/>
      <c r="G273" s="312"/>
      <c r="H273" s="312"/>
      <c r="I273" s="140"/>
      <c r="J273" s="140"/>
      <c r="K273" s="312">
        <v>1000</v>
      </c>
      <c r="L273" s="312">
        <f t="shared" si="46"/>
        <v>1000</v>
      </c>
      <c r="M273" s="312">
        <v>1000</v>
      </c>
      <c r="N273" s="312">
        <v>0</v>
      </c>
      <c r="O273" s="865">
        <v>0</v>
      </c>
      <c r="P273" s="779" t="s">
        <v>395</v>
      </c>
      <c r="Q273" s="663"/>
      <c r="R273" s="108"/>
      <c r="S273" s="108"/>
      <c r="T273" s="108"/>
      <c r="U273" s="108"/>
      <c r="V273" s="108"/>
      <c r="W273" s="108"/>
      <c r="X273" s="108"/>
      <c r="Y273" s="108"/>
      <c r="Z273" s="108"/>
      <c r="AA273" s="108"/>
      <c r="AB273" s="108"/>
      <c r="AC273" s="108"/>
      <c r="AD273" s="108"/>
      <c r="AE273" s="108"/>
      <c r="AF273" s="108"/>
      <c r="AG273" s="108"/>
      <c r="AH273" s="108"/>
      <c r="AI273" s="108"/>
      <c r="AJ273" s="108"/>
      <c r="AK273" s="108"/>
      <c r="AL273" s="108"/>
      <c r="AM273" s="108"/>
      <c r="AN273" s="108"/>
      <c r="AO273" s="108"/>
      <c r="AP273" s="108"/>
      <c r="AQ273" s="108"/>
      <c r="AR273" s="108"/>
      <c r="AS273" s="108"/>
      <c r="AT273" s="108"/>
      <c r="AU273" s="108"/>
      <c r="AV273" s="108"/>
      <c r="AW273" s="108"/>
      <c r="AX273" s="108"/>
      <c r="AY273" s="108"/>
      <c r="AZ273" s="108"/>
      <c r="BA273" s="108"/>
      <c r="BB273" s="108"/>
      <c r="BC273" s="108"/>
      <c r="BD273" s="108"/>
      <c r="BE273" s="108"/>
      <c r="BF273" s="108"/>
      <c r="BG273" s="108"/>
      <c r="BH273" s="108"/>
      <c r="BI273" s="108"/>
      <c r="BJ273" s="108"/>
      <c r="BK273" s="108"/>
      <c r="BL273" s="108"/>
      <c r="BM273" s="108"/>
      <c r="BN273" s="108"/>
      <c r="BO273" s="108"/>
      <c r="BP273" s="108"/>
      <c r="BQ273" s="108"/>
      <c r="BR273" s="108"/>
      <c r="BS273" s="108"/>
      <c r="BT273" s="108"/>
      <c r="BU273" s="108"/>
      <c r="BV273" s="108"/>
      <c r="BW273" s="108"/>
      <c r="BX273" s="108"/>
      <c r="BY273" s="108"/>
      <c r="BZ273" s="108"/>
      <c r="CA273" s="108"/>
      <c r="CB273" s="108"/>
      <c r="CC273" s="108"/>
      <c r="CD273" s="108"/>
      <c r="CE273" s="108"/>
      <c r="CF273" s="108"/>
      <c r="CG273" s="108"/>
      <c r="CH273" s="108"/>
      <c r="CI273" s="108"/>
      <c r="CJ273" s="108"/>
      <c r="CK273" s="108"/>
      <c r="CL273" s="108"/>
      <c r="CM273" s="156"/>
      <c r="CN273" s="156"/>
      <c r="CO273" s="156"/>
      <c r="CP273" s="156"/>
      <c r="CQ273" s="156"/>
      <c r="CR273" s="156"/>
      <c r="CS273" s="156"/>
      <c r="CT273" s="156"/>
      <c r="CU273" s="156"/>
      <c r="CV273" s="156"/>
      <c r="CW273" s="156"/>
      <c r="CX273" s="156"/>
      <c r="CY273" s="108"/>
      <c r="CZ273" s="108"/>
      <c r="DA273" s="108"/>
      <c r="DB273" s="108"/>
      <c r="DC273" s="108"/>
      <c r="DD273" s="108"/>
      <c r="DE273" s="108"/>
      <c r="DF273" s="108"/>
      <c r="DG273" s="108"/>
      <c r="DH273" s="108"/>
      <c r="DI273" s="108"/>
      <c r="DJ273" s="108"/>
      <c r="DK273" s="108"/>
      <c r="DL273" s="108"/>
      <c r="DM273" s="108"/>
      <c r="DN273" s="108"/>
      <c r="DO273" s="108"/>
      <c r="DP273" s="108"/>
      <c r="DQ273" s="108"/>
      <c r="DR273" s="108"/>
      <c r="DS273" s="108"/>
      <c r="DT273" s="108"/>
      <c r="DU273" s="108"/>
      <c r="DV273" s="108"/>
      <c r="DW273" s="108"/>
      <c r="DX273" s="108"/>
      <c r="DY273" s="108"/>
      <c r="DZ273" s="108"/>
      <c r="EA273" s="108"/>
      <c r="EB273" s="156"/>
      <c r="EC273" s="156"/>
      <c r="ED273" s="156"/>
      <c r="EE273" s="156"/>
      <c r="EF273" s="156"/>
      <c r="EG273" s="156"/>
      <c r="EH273" s="156"/>
      <c r="EI273" s="156"/>
      <c r="EJ273" s="156"/>
      <c r="EK273" s="156"/>
      <c r="EL273" s="156"/>
      <c r="EM273" s="156"/>
      <c r="EN273" s="156"/>
      <c r="EO273" s="156"/>
      <c r="EP273" s="156"/>
      <c r="EQ273" s="156"/>
      <c r="ER273" s="156"/>
      <c r="ES273" s="108"/>
      <c r="ET273" s="108"/>
      <c r="EU273" s="108"/>
      <c r="EV273" s="108"/>
      <c r="EW273" s="108"/>
      <c r="EX273" s="108"/>
      <c r="EY273" s="108"/>
      <c r="EZ273" s="108"/>
      <c r="FA273" s="108"/>
      <c r="FB273" s="108"/>
      <c r="FC273" s="108"/>
      <c r="FD273" s="108"/>
      <c r="FE273" s="108"/>
      <c r="FF273" s="108"/>
      <c r="FG273" s="108"/>
      <c r="FH273" s="108"/>
      <c r="FI273" s="108"/>
      <c r="FJ273" s="108"/>
      <c r="FK273" s="108"/>
      <c r="FL273" s="108"/>
      <c r="FM273" s="108"/>
      <c r="FN273" s="108"/>
      <c r="FO273" s="108"/>
      <c r="FP273" s="108"/>
      <c r="FQ273" s="108"/>
      <c r="FR273" s="108"/>
      <c r="FS273" s="108"/>
      <c r="FT273" s="108"/>
      <c r="FU273" s="108"/>
      <c r="FV273" s="108"/>
    </row>
    <row r="274" spans="1:178" s="94" customFormat="1" ht="59.25" customHeight="1">
      <c r="A274" s="638"/>
      <c r="B274" s="125"/>
      <c r="C274" s="102">
        <v>2</v>
      </c>
      <c r="D274" s="158"/>
      <c r="E274" s="311" t="s">
        <v>84</v>
      </c>
      <c r="F274" s="310"/>
      <c r="G274" s="309"/>
      <c r="H274" s="309"/>
      <c r="I274" s="157"/>
      <c r="J274" s="157"/>
      <c r="K274" s="309">
        <v>500</v>
      </c>
      <c r="L274" s="309">
        <f t="shared" si="46"/>
        <v>500</v>
      </c>
      <c r="M274" s="309">
        <v>500</v>
      </c>
      <c r="N274" s="309">
        <v>0</v>
      </c>
      <c r="O274" s="866">
        <v>0</v>
      </c>
      <c r="P274" s="779" t="s">
        <v>395</v>
      </c>
      <c r="Q274" s="663"/>
      <c r="R274" s="108"/>
      <c r="S274" s="108"/>
      <c r="T274" s="108"/>
      <c r="U274" s="108"/>
      <c r="V274" s="108"/>
      <c r="W274" s="108"/>
      <c r="X274" s="108"/>
      <c r="Y274" s="108"/>
      <c r="Z274" s="108"/>
      <c r="AA274" s="108"/>
      <c r="AB274" s="108"/>
      <c r="AC274" s="108"/>
      <c r="AD274" s="108"/>
      <c r="AE274" s="108"/>
      <c r="AF274" s="108"/>
      <c r="AG274" s="108"/>
      <c r="AH274" s="108"/>
      <c r="AI274" s="108"/>
      <c r="AJ274" s="108"/>
      <c r="AK274" s="108"/>
      <c r="AL274" s="108"/>
      <c r="AM274" s="108"/>
      <c r="AN274" s="108"/>
      <c r="AO274" s="108"/>
      <c r="AP274" s="108"/>
      <c r="AQ274" s="108"/>
      <c r="AR274" s="108"/>
      <c r="AS274" s="108"/>
      <c r="AT274" s="108"/>
      <c r="AU274" s="108"/>
      <c r="AV274" s="108"/>
      <c r="AW274" s="108"/>
      <c r="AX274" s="108"/>
      <c r="AY274" s="108"/>
      <c r="AZ274" s="108"/>
      <c r="BA274" s="108"/>
      <c r="BB274" s="108"/>
      <c r="BC274" s="108"/>
      <c r="BD274" s="108"/>
      <c r="BE274" s="108"/>
      <c r="BF274" s="108"/>
      <c r="BG274" s="108"/>
      <c r="BH274" s="108"/>
      <c r="BI274" s="108"/>
      <c r="BJ274" s="108"/>
      <c r="BK274" s="108"/>
      <c r="BL274" s="108"/>
      <c r="BM274" s="108"/>
      <c r="BN274" s="108"/>
      <c r="BO274" s="108"/>
      <c r="BP274" s="108"/>
      <c r="BQ274" s="108"/>
      <c r="BR274" s="108"/>
      <c r="BS274" s="108"/>
      <c r="BT274" s="108"/>
      <c r="BU274" s="108"/>
      <c r="BV274" s="108"/>
      <c r="BW274" s="108"/>
      <c r="BX274" s="108"/>
      <c r="BY274" s="108"/>
      <c r="BZ274" s="108"/>
      <c r="CA274" s="108"/>
      <c r="CB274" s="108"/>
      <c r="CC274" s="108"/>
      <c r="CD274" s="108"/>
      <c r="CE274" s="108"/>
      <c r="CF274" s="108"/>
      <c r="CG274" s="108"/>
      <c r="CH274" s="108"/>
      <c r="CI274" s="108"/>
      <c r="CJ274" s="108"/>
      <c r="CK274" s="108"/>
      <c r="CL274" s="108"/>
      <c r="CM274" s="304"/>
      <c r="CN274" s="304"/>
      <c r="CO274" s="304"/>
      <c r="CP274" s="304"/>
      <c r="CQ274" s="304"/>
      <c r="CR274" s="304"/>
      <c r="CS274" s="304"/>
      <c r="CT274" s="304"/>
      <c r="CU274" s="304"/>
      <c r="CV274" s="304"/>
      <c r="CW274" s="304"/>
      <c r="CX274" s="304"/>
      <c r="CY274" s="108"/>
      <c r="CZ274" s="108"/>
      <c r="DA274" s="108"/>
      <c r="DB274" s="108"/>
      <c r="DC274" s="108"/>
      <c r="DD274" s="108"/>
      <c r="DE274" s="108"/>
      <c r="DF274" s="108"/>
      <c r="DG274" s="108"/>
      <c r="DH274" s="108"/>
      <c r="DI274" s="108"/>
      <c r="DJ274" s="108"/>
      <c r="DK274" s="108"/>
      <c r="DL274" s="108"/>
      <c r="DM274" s="108"/>
      <c r="DN274" s="108"/>
      <c r="DO274" s="108"/>
      <c r="DP274" s="108"/>
      <c r="DQ274" s="108"/>
      <c r="DR274" s="108"/>
      <c r="DS274" s="108"/>
      <c r="DT274" s="108"/>
      <c r="DU274" s="108"/>
      <c r="DV274" s="108"/>
      <c r="DW274" s="108"/>
      <c r="DX274" s="108"/>
      <c r="DY274" s="108"/>
      <c r="DZ274" s="304"/>
      <c r="EA274" s="304"/>
      <c r="EB274" s="304"/>
      <c r="EC274" s="304"/>
      <c r="ED274" s="304"/>
      <c r="EE274" s="304"/>
      <c r="EF274" s="304"/>
      <c r="EG274" s="304"/>
      <c r="EH274" s="304"/>
      <c r="EI274" s="304"/>
      <c r="EJ274" s="304"/>
      <c r="EK274" s="304"/>
      <c r="EL274" s="304"/>
      <c r="EM274" s="304"/>
      <c r="EN274" s="304"/>
      <c r="EO274" s="304"/>
      <c r="EP274" s="304"/>
      <c r="EQ274" s="304"/>
      <c r="ER274" s="304"/>
      <c r="ES274" s="108"/>
      <c r="ET274" s="108"/>
      <c r="EU274" s="108"/>
      <c r="EV274" s="108"/>
      <c r="EW274" s="108"/>
      <c r="EX274" s="108"/>
      <c r="EY274" s="108"/>
      <c r="EZ274" s="108"/>
      <c r="FA274" s="108"/>
      <c r="FB274" s="108"/>
      <c r="FC274" s="108"/>
      <c r="FD274" s="108"/>
      <c r="FE274" s="108"/>
      <c r="FF274" s="108"/>
      <c r="FG274" s="108"/>
      <c r="FH274" s="108"/>
      <c r="FI274" s="108"/>
      <c r="FJ274" s="108"/>
      <c r="FK274" s="108"/>
      <c r="FL274" s="108"/>
      <c r="FM274" s="108"/>
      <c r="FN274" s="108"/>
      <c r="FO274" s="108"/>
      <c r="FP274" s="108"/>
      <c r="FQ274" s="108"/>
      <c r="FR274" s="108"/>
      <c r="FS274" s="108"/>
      <c r="FT274" s="108"/>
      <c r="FU274" s="108"/>
      <c r="FV274" s="108"/>
    </row>
    <row r="275" spans="1:178" s="306" customFormat="1" ht="59.25" customHeight="1">
      <c r="A275" s="637"/>
      <c r="B275" s="148">
        <v>75416</v>
      </c>
      <c r="C275" s="147"/>
      <c r="D275" s="308"/>
      <c r="E275" s="307" t="s">
        <v>83</v>
      </c>
      <c r="F275" s="143" t="e">
        <f>#REF!+F283+F284+F286+F287+F288+F289</f>
        <v>#REF!</v>
      </c>
      <c r="G275" s="143" t="e">
        <f>#REF!+G283+G284+G286+G287+G288+G289</f>
        <v>#REF!</v>
      </c>
      <c r="H275" s="143" t="e">
        <f>#REF!+H283+H284+H286+H287+H288+H289</f>
        <v>#REF!</v>
      </c>
      <c r="I275" s="143" t="e">
        <f>#REF!+I283+I284+I286+I287+I288+I289</f>
        <v>#REF!</v>
      </c>
      <c r="J275" s="143" t="e">
        <f>#REF!+J283+J284+J286+J287+J288+J289</f>
        <v>#REF!</v>
      </c>
      <c r="K275" s="143" t="e">
        <f>#REF!+K283+K284+K285+K286+K287+K288+K289</f>
        <v>#REF!</v>
      </c>
      <c r="L275" s="143">
        <f>L276+L283+L284+L285+L286+L287+L288+L289</f>
        <v>542227</v>
      </c>
      <c r="M275" s="143">
        <f>M276+M283+M284+M285+M286+M287+M288+M289</f>
        <v>542227</v>
      </c>
      <c r="N275" s="143">
        <f>N276+N283+N284+N285+N286+N287+N288+N289</f>
        <v>250486.83000000002</v>
      </c>
      <c r="O275" s="864">
        <f>N275/M275</f>
        <v>0.4619593454401939</v>
      </c>
      <c r="P275" s="779" t="s">
        <v>395</v>
      </c>
      <c r="Q275" s="663"/>
      <c r="R275" s="108"/>
      <c r="S275" s="108"/>
      <c r="T275" s="108"/>
      <c r="U275" s="108"/>
      <c r="V275" s="108"/>
      <c r="W275" s="108"/>
      <c r="X275" s="108"/>
      <c r="Y275" s="108"/>
      <c r="Z275" s="108"/>
      <c r="AA275" s="108"/>
      <c r="AB275" s="108"/>
      <c r="AC275" s="108"/>
      <c r="AD275" s="108"/>
      <c r="AE275" s="108"/>
      <c r="AF275" s="108"/>
      <c r="AG275" s="108"/>
      <c r="AH275" s="108"/>
      <c r="AI275" s="108"/>
      <c r="AJ275" s="108"/>
      <c r="AK275" s="108"/>
      <c r="AL275" s="108"/>
      <c r="AM275" s="108"/>
      <c r="AN275" s="108"/>
      <c r="AO275" s="108"/>
      <c r="AP275" s="108"/>
      <c r="AQ275" s="108"/>
      <c r="AR275" s="108"/>
      <c r="AS275" s="108"/>
      <c r="AT275" s="108"/>
      <c r="AU275" s="108"/>
      <c r="AV275" s="108"/>
      <c r="AW275" s="108"/>
      <c r="AX275" s="108"/>
      <c r="AY275" s="108"/>
      <c r="AZ275" s="108"/>
      <c r="BA275" s="108"/>
      <c r="BB275" s="108"/>
      <c r="BC275" s="108"/>
      <c r="BD275" s="108"/>
      <c r="BE275" s="108"/>
      <c r="BF275" s="108"/>
      <c r="BG275" s="108"/>
      <c r="BH275" s="108"/>
      <c r="BI275" s="108"/>
      <c r="BJ275" s="108"/>
      <c r="BK275" s="108"/>
      <c r="BL275" s="108"/>
      <c r="BM275" s="108"/>
      <c r="BN275" s="108"/>
      <c r="BO275" s="108"/>
      <c r="BP275" s="108"/>
      <c r="BQ275" s="108"/>
      <c r="BR275" s="108"/>
      <c r="BS275" s="108"/>
      <c r="BT275" s="108"/>
      <c r="BU275" s="108"/>
      <c r="BV275" s="108"/>
      <c r="BW275" s="108"/>
      <c r="BX275" s="108"/>
      <c r="BY275" s="108"/>
      <c r="BZ275" s="108"/>
      <c r="CA275" s="108"/>
      <c r="CB275" s="108"/>
      <c r="CC275" s="108"/>
      <c r="CD275" s="108"/>
      <c r="CE275" s="108"/>
      <c r="CF275" s="108"/>
      <c r="CG275" s="108"/>
      <c r="CH275" s="108"/>
      <c r="CI275" s="108"/>
      <c r="CJ275" s="108"/>
      <c r="CK275" s="108"/>
      <c r="CL275" s="108"/>
      <c r="CM275" s="156"/>
      <c r="CN275" s="156"/>
      <c r="CO275" s="156"/>
      <c r="CP275" s="156"/>
      <c r="CQ275" s="156"/>
      <c r="CR275" s="156"/>
      <c r="CS275" s="156"/>
      <c r="CT275" s="156"/>
      <c r="CU275" s="156"/>
      <c r="CV275" s="156"/>
      <c r="CW275" s="156"/>
      <c r="CX275" s="156"/>
      <c r="CY275" s="108"/>
      <c r="CZ275" s="108"/>
      <c r="DA275" s="108"/>
      <c r="DB275" s="108"/>
      <c r="DC275" s="108"/>
      <c r="DD275" s="108"/>
      <c r="DE275" s="108"/>
      <c r="DF275" s="108"/>
      <c r="DG275" s="108"/>
      <c r="DH275" s="108"/>
      <c r="DI275" s="108"/>
      <c r="DJ275" s="108"/>
      <c r="DK275" s="108"/>
      <c r="DL275" s="108"/>
      <c r="DM275" s="108"/>
      <c r="DN275" s="108"/>
      <c r="DO275" s="108"/>
      <c r="DP275" s="108"/>
      <c r="DQ275" s="108"/>
      <c r="DR275" s="108"/>
      <c r="DS275" s="108"/>
      <c r="DT275" s="108"/>
      <c r="DU275" s="108"/>
      <c r="DV275" s="108"/>
      <c r="DW275" s="108"/>
      <c r="DX275" s="108"/>
      <c r="DY275" s="108"/>
      <c r="DZ275" s="108"/>
      <c r="EA275" s="108"/>
      <c r="EB275" s="156"/>
      <c r="EC275" s="156"/>
      <c r="ED275" s="156"/>
      <c r="EE275" s="156"/>
      <c r="EF275" s="156"/>
      <c r="EG275" s="156"/>
      <c r="EH275" s="156"/>
      <c r="EI275" s="156"/>
      <c r="EJ275" s="156"/>
      <c r="EK275" s="156"/>
      <c r="EL275" s="156"/>
      <c r="EM275" s="156"/>
      <c r="EN275" s="156"/>
      <c r="EO275" s="156"/>
      <c r="EP275" s="156"/>
      <c r="EQ275" s="156"/>
      <c r="ER275" s="156"/>
      <c r="ES275" s="108"/>
      <c r="ET275" s="108"/>
      <c r="EU275" s="108"/>
      <c r="EV275" s="108"/>
      <c r="EW275" s="108"/>
      <c r="EX275" s="108"/>
      <c r="EY275" s="108"/>
      <c r="EZ275" s="108"/>
      <c r="FA275" s="108"/>
      <c r="FB275" s="108"/>
      <c r="FC275" s="108"/>
      <c r="FD275" s="108"/>
      <c r="FE275" s="108"/>
      <c r="FF275" s="108"/>
      <c r="FG275" s="108"/>
      <c r="FH275" s="108"/>
      <c r="FI275" s="108"/>
      <c r="FJ275" s="108"/>
      <c r="FK275" s="108"/>
      <c r="FL275" s="108"/>
      <c r="FM275" s="108"/>
      <c r="FN275" s="108"/>
      <c r="FO275" s="108"/>
      <c r="FP275" s="108"/>
      <c r="FQ275" s="108"/>
      <c r="FR275" s="108"/>
      <c r="FS275" s="108"/>
      <c r="FT275" s="108"/>
      <c r="FU275" s="108"/>
      <c r="FV275" s="108"/>
    </row>
    <row r="276" spans="1:178" s="823" customFormat="1" ht="54.9" customHeight="1">
      <c r="A276" s="818"/>
      <c r="B276" s="709"/>
      <c r="C276" s="98">
        <v>1</v>
      </c>
      <c r="D276" s="97"/>
      <c r="E276" s="546" t="s">
        <v>82</v>
      </c>
      <c r="F276" s="187"/>
      <c r="G276" s="432"/>
      <c r="H276" s="432"/>
      <c r="I276" s="432"/>
      <c r="J276" s="432"/>
      <c r="K276" s="432" t="e">
        <f>#REF!+#REF!+#REF!+#REF!</f>
        <v>#REF!</v>
      </c>
      <c r="L276" s="432">
        <f>L278+L279+L280+L281+L282</f>
        <v>486127</v>
      </c>
      <c r="M276" s="432">
        <f>SUM(M278:M282)</f>
        <v>486127</v>
      </c>
      <c r="N276" s="432">
        <f>SUM(N278:N282)</f>
        <v>237170.82</v>
      </c>
      <c r="O276" s="819">
        <f>N276/M276</f>
        <v>0.48787831163461404</v>
      </c>
      <c r="P276" s="663" t="s">
        <v>395</v>
      </c>
      <c r="Q276" s="820"/>
      <c r="R276" s="663"/>
      <c r="S276" s="821"/>
      <c r="T276" s="821"/>
      <c r="U276" s="821"/>
      <c r="V276" s="821"/>
      <c r="W276" s="821"/>
      <c r="X276" s="821"/>
      <c r="Y276" s="821"/>
      <c r="Z276" s="821"/>
      <c r="AA276" s="821"/>
      <c r="AB276" s="821"/>
      <c r="AC276" s="821"/>
      <c r="AD276" s="821"/>
      <c r="AE276" s="821"/>
      <c r="AF276" s="821"/>
      <c r="AG276" s="821"/>
      <c r="AH276" s="821"/>
      <c r="AI276" s="821"/>
      <c r="AJ276" s="821"/>
      <c r="AK276" s="821"/>
      <c r="AL276" s="821"/>
      <c r="AM276" s="821"/>
      <c r="AN276" s="821"/>
      <c r="AO276" s="821"/>
      <c r="AP276" s="821"/>
      <c r="AQ276" s="821"/>
      <c r="AR276" s="821"/>
      <c r="AS276" s="821"/>
      <c r="AT276" s="821"/>
      <c r="AU276" s="821"/>
      <c r="AV276" s="821"/>
      <c r="AW276" s="821"/>
      <c r="AX276" s="821"/>
      <c r="AY276" s="821"/>
      <c r="AZ276" s="821"/>
      <c r="BA276" s="821"/>
      <c r="BB276" s="821"/>
      <c r="BC276" s="821"/>
      <c r="BD276" s="821"/>
      <c r="BE276" s="821"/>
      <c r="BF276" s="821"/>
      <c r="BG276" s="821"/>
      <c r="BH276" s="821"/>
      <c r="BI276" s="821"/>
      <c r="BJ276" s="821"/>
      <c r="BK276" s="821"/>
      <c r="BL276" s="821"/>
      <c r="BM276" s="821"/>
      <c r="BN276" s="821"/>
      <c r="BO276" s="821"/>
      <c r="BP276" s="821"/>
      <c r="BQ276" s="821"/>
      <c r="BR276" s="821"/>
      <c r="BS276" s="821"/>
      <c r="BT276" s="821"/>
      <c r="BU276" s="821"/>
      <c r="BV276" s="821"/>
      <c r="BW276" s="821"/>
      <c r="BX276" s="821"/>
      <c r="BY276" s="821"/>
      <c r="BZ276" s="821"/>
      <c r="CA276" s="821"/>
      <c r="CB276" s="821"/>
      <c r="CC276" s="821"/>
      <c r="CD276" s="821"/>
      <c r="CE276" s="821"/>
      <c r="CF276" s="821"/>
      <c r="CG276" s="821"/>
      <c r="CH276" s="821"/>
      <c r="CI276" s="821"/>
      <c r="CJ276" s="821"/>
      <c r="CK276" s="821"/>
      <c r="CL276" s="822"/>
      <c r="CM276" s="822"/>
      <c r="CN276" s="822"/>
      <c r="CO276" s="822"/>
      <c r="CP276" s="822"/>
      <c r="CQ276" s="822"/>
      <c r="CR276" s="822"/>
      <c r="CS276" s="822"/>
      <c r="CT276" s="822"/>
      <c r="CU276" s="822"/>
      <c r="CV276" s="822"/>
      <c r="CW276" s="822"/>
      <c r="CX276" s="821"/>
      <c r="CY276" s="821"/>
      <c r="CZ276" s="821"/>
      <c r="DA276" s="821"/>
      <c r="DB276" s="821"/>
      <c r="DC276" s="821"/>
      <c r="DD276" s="821"/>
      <c r="DE276" s="821"/>
      <c r="DF276" s="821"/>
      <c r="DG276" s="821"/>
      <c r="DH276" s="821"/>
      <c r="DI276" s="821"/>
      <c r="DJ276" s="821"/>
      <c r="DK276" s="821"/>
      <c r="DL276" s="821"/>
      <c r="DM276" s="821"/>
      <c r="DN276" s="821"/>
      <c r="DO276" s="821"/>
      <c r="DP276" s="821"/>
      <c r="DQ276" s="821"/>
      <c r="DR276" s="821"/>
      <c r="DS276" s="821"/>
      <c r="DT276" s="821"/>
      <c r="DU276" s="821"/>
      <c r="DV276" s="821"/>
      <c r="DW276" s="821"/>
      <c r="DX276" s="821"/>
      <c r="DY276" s="822"/>
      <c r="DZ276" s="822"/>
      <c r="EA276" s="822"/>
      <c r="EB276" s="822"/>
      <c r="EC276" s="822"/>
      <c r="ED276" s="822"/>
      <c r="EE276" s="822"/>
      <c r="EF276" s="822"/>
      <c r="EG276" s="822"/>
      <c r="EH276" s="822"/>
      <c r="EI276" s="822"/>
      <c r="EJ276" s="822"/>
      <c r="EK276" s="822"/>
      <c r="EL276" s="822"/>
      <c r="EM276" s="822"/>
      <c r="EN276" s="822"/>
      <c r="EO276" s="822"/>
      <c r="EP276" s="822"/>
      <c r="EQ276" s="822"/>
      <c r="ER276" s="821"/>
      <c r="ES276" s="821"/>
      <c r="ET276" s="821"/>
      <c r="EU276" s="821"/>
      <c r="EV276" s="821"/>
      <c r="EW276" s="821"/>
      <c r="EX276" s="821"/>
      <c r="EY276" s="821"/>
      <c r="EZ276" s="821"/>
      <c r="FA276" s="821"/>
      <c r="FB276" s="821"/>
      <c r="FC276" s="821"/>
      <c r="FD276" s="821"/>
      <c r="FE276" s="821"/>
      <c r="FF276" s="821"/>
      <c r="FG276" s="821"/>
      <c r="FH276" s="821"/>
      <c r="FI276" s="821"/>
      <c r="FJ276" s="821"/>
      <c r="FK276" s="821"/>
      <c r="FL276" s="821"/>
      <c r="FM276" s="821"/>
      <c r="FN276" s="821"/>
      <c r="FO276" s="821"/>
      <c r="FP276" s="821"/>
      <c r="FQ276" s="821"/>
      <c r="FR276" s="821"/>
      <c r="FS276" s="821"/>
      <c r="FT276" s="821"/>
      <c r="FU276" s="821"/>
    </row>
    <row r="277" spans="1:178" s="814" customFormat="1" ht="30" customHeight="1">
      <c r="A277" s="809"/>
      <c r="B277" s="810"/>
      <c r="C277" s="813"/>
      <c r="D277" s="263"/>
      <c r="E277" s="418" t="s">
        <v>13</v>
      </c>
      <c r="F277" s="748"/>
      <c r="G277" s="690"/>
      <c r="H277" s="690"/>
      <c r="I277" s="690"/>
      <c r="J277" s="690"/>
      <c r="K277" s="690"/>
      <c r="L277" s="690"/>
      <c r="M277" s="690"/>
      <c r="N277" s="690"/>
      <c r="O277" s="811"/>
      <c r="P277" s="656"/>
      <c r="Q277" s="812"/>
      <c r="R277" s="656"/>
    </row>
    <row r="278" spans="1:178" s="814" customFormat="1" ht="48" customHeight="1">
      <c r="A278" s="809"/>
      <c r="B278" s="810"/>
      <c r="C278" s="813"/>
      <c r="D278" s="263"/>
      <c r="E278" s="418" t="s">
        <v>236</v>
      </c>
      <c r="F278" s="748">
        <v>143757</v>
      </c>
      <c r="G278" s="690"/>
      <c r="H278" s="690"/>
      <c r="I278" s="690"/>
      <c r="J278" s="690"/>
      <c r="K278" s="690">
        <v>206723</v>
      </c>
      <c r="L278" s="690">
        <v>365748</v>
      </c>
      <c r="M278" s="690">
        <v>365748</v>
      </c>
      <c r="N278" s="690">
        <v>165340.59</v>
      </c>
      <c r="O278" s="811">
        <f>N278/M278</f>
        <v>0.45206150136159323</v>
      </c>
      <c r="P278" s="656" t="s">
        <v>395</v>
      </c>
      <c r="Q278" s="812"/>
      <c r="R278" s="656"/>
    </row>
    <row r="279" spans="1:178" s="814" customFormat="1" ht="48" customHeight="1">
      <c r="A279" s="809"/>
      <c r="B279" s="810"/>
      <c r="C279" s="813"/>
      <c r="D279" s="263"/>
      <c r="E279" s="418" t="s">
        <v>122</v>
      </c>
      <c r="F279" s="748">
        <v>28050</v>
      </c>
      <c r="G279" s="690"/>
      <c r="H279" s="690"/>
      <c r="I279" s="690"/>
      <c r="J279" s="690"/>
      <c r="K279" s="690">
        <v>0</v>
      </c>
      <c r="L279" s="690">
        <v>30363</v>
      </c>
      <c r="M279" s="690">
        <v>30363</v>
      </c>
      <c r="N279" s="690">
        <v>27500.2</v>
      </c>
      <c r="O279" s="811">
        <f t="shared" ref="O279:O283" si="48">N279/M279</f>
        <v>0.90571419161479438</v>
      </c>
      <c r="P279" s="656" t="s">
        <v>395</v>
      </c>
      <c r="Q279" s="812"/>
      <c r="R279" s="656"/>
    </row>
    <row r="280" spans="1:178" s="814" customFormat="1" ht="48" customHeight="1">
      <c r="A280" s="809"/>
      <c r="B280" s="810"/>
      <c r="C280" s="813"/>
      <c r="D280" s="263"/>
      <c r="E280" s="418" t="s">
        <v>121</v>
      </c>
      <c r="F280" s="748">
        <v>29688</v>
      </c>
      <c r="G280" s="690"/>
      <c r="H280" s="690"/>
      <c r="I280" s="690"/>
      <c r="J280" s="690"/>
      <c r="K280" s="690">
        <v>35722</v>
      </c>
      <c r="L280" s="690">
        <v>69396</v>
      </c>
      <c r="M280" s="690">
        <v>69396</v>
      </c>
      <c r="N280" s="690">
        <v>32451.279999999999</v>
      </c>
      <c r="O280" s="811">
        <f t="shared" si="48"/>
        <v>0.46762464695371492</v>
      </c>
      <c r="P280" s="656" t="s">
        <v>395</v>
      </c>
      <c r="Q280" s="812"/>
      <c r="R280" s="656"/>
    </row>
    <row r="281" spans="1:178" s="814" customFormat="1" ht="48" customHeight="1">
      <c r="A281" s="809"/>
      <c r="B281" s="810"/>
      <c r="C281" s="813"/>
      <c r="D281" s="263"/>
      <c r="E281" s="418" t="s">
        <v>120</v>
      </c>
      <c r="F281" s="748">
        <v>4210</v>
      </c>
      <c r="G281" s="690"/>
      <c r="H281" s="690"/>
      <c r="I281" s="690"/>
      <c r="J281" s="690"/>
      <c r="K281" s="690">
        <v>5070</v>
      </c>
      <c r="L281" s="690">
        <v>9949</v>
      </c>
      <c r="M281" s="690">
        <v>9949</v>
      </c>
      <c r="N281" s="690">
        <v>3874.75</v>
      </c>
      <c r="O281" s="811">
        <f t="shared" si="48"/>
        <v>0.38946125238717461</v>
      </c>
      <c r="P281" s="656" t="s">
        <v>395</v>
      </c>
      <c r="Q281" s="812"/>
      <c r="R281" s="656"/>
    </row>
    <row r="282" spans="1:178" s="814" customFormat="1" ht="48" customHeight="1">
      <c r="A282" s="809"/>
      <c r="B282" s="810"/>
      <c r="C282" s="813"/>
      <c r="D282" s="263"/>
      <c r="E282" s="418" t="s">
        <v>374</v>
      </c>
      <c r="F282" s="748">
        <v>9080</v>
      </c>
      <c r="G282" s="690"/>
      <c r="H282" s="690"/>
      <c r="I282" s="690"/>
      <c r="J282" s="690"/>
      <c r="K282" s="690">
        <v>0</v>
      </c>
      <c r="L282" s="690">
        <v>10671</v>
      </c>
      <c r="M282" s="690">
        <v>10671</v>
      </c>
      <c r="N282" s="690">
        <v>8004</v>
      </c>
      <c r="O282" s="811">
        <f t="shared" si="48"/>
        <v>0.75007028394714648</v>
      </c>
      <c r="P282" s="656" t="s">
        <v>395</v>
      </c>
      <c r="Q282" s="812"/>
      <c r="R282" s="656"/>
    </row>
    <row r="283" spans="1:178" s="298" customFormat="1" ht="57" customHeight="1">
      <c r="A283" s="636"/>
      <c r="B283" s="297"/>
      <c r="C283" s="384">
        <v>2</v>
      </c>
      <c r="D283" s="132"/>
      <c r="E283" s="303" t="s">
        <v>81</v>
      </c>
      <c r="F283" s="302"/>
      <c r="G283" s="301"/>
      <c r="H283" s="301"/>
      <c r="I283" s="301"/>
      <c r="J283" s="301"/>
      <c r="K283" s="301">
        <v>43000</v>
      </c>
      <c r="L283" s="300">
        <f t="shared" ref="L283" si="49">SUM(F283:K283)</f>
        <v>43000</v>
      </c>
      <c r="M283" s="300">
        <v>43000</v>
      </c>
      <c r="N283" s="300">
        <v>9984.8799999999992</v>
      </c>
      <c r="O283" s="867">
        <f t="shared" si="48"/>
        <v>0.23220651162790695</v>
      </c>
      <c r="P283" s="773" t="s">
        <v>395</v>
      </c>
      <c r="Q283" s="657"/>
    </row>
    <row r="284" spans="1:178" s="298" customFormat="1" ht="66.75" customHeight="1">
      <c r="A284" s="636"/>
      <c r="B284" s="297"/>
      <c r="C284" s="87">
        <v>3</v>
      </c>
      <c r="D284" s="136"/>
      <c r="E284" s="138" t="s">
        <v>80</v>
      </c>
      <c r="F284" s="134"/>
      <c r="G284" s="135"/>
      <c r="H284" s="135"/>
      <c r="I284" s="135"/>
      <c r="J284" s="135"/>
      <c r="K284" s="135">
        <f>800+400</f>
        <v>1200</v>
      </c>
      <c r="L284" s="133">
        <f t="shared" ref="L284:L291" si="50">SUM(F284:K284)</f>
        <v>1200</v>
      </c>
      <c r="M284" s="133">
        <v>1200</v>
      </c>
      <c r="N284" s="133">
        <v>1174.17</v>
      </c>
      <c r="O284" s="862">
        <f>N284/M284</f>
        <v>0.97847500000000009</v>
      </c>
      <c r="P284" s="773" t="s">
        <v>395</v>
      </c>
      <c r="Q284" s="657"/>
    </row>
    <row r="285" spans="1:178" s="298" customFormat="1" ht="66.75" customHeight="1">
      <c r="A285" s="636"/>
      <c r="B285" s="297"/>
      <c r="C285" s="87">
        <v>4</v>
      </c>
      <c r="D285" s="136"/>
      <c r="E285" s="138" t="s">
        <v>79</v>
      </c>
      <c r="F285" s="134"/>
      <c r="G285" s="135"/>
      <c r="H285" s="135"/>
      <c r="I285" s="135"/>
      <c r="J285" s="135"/>
      <c r="K285" s="135">
        <f>800-400</f>
        <v>400</v>
      </c>
      <c r="L285" s="133">
        <f t="shared" si="50"/>
        <v>400</v>
      </c>
      <c r="M285" s="133">
        <v>400</v>
      </c>
      <c r="N285" s="133">
        <v>0</v>
      </c>
      <c r="O285" s="862">
        <v>0</v>
      </c>
      <c r="P285" s="773" t="s">
        <v>395</v>
      </c>
      <c r="Q285" s="657"/>
    </row>
    <row r="286" spans="1:178" s="298" customFormat="1" ht="66.75" customHeight="1">
      <c r="A286" s="636"/>
      <c r="B286" s="297"/>
      <c r="C286" s="87">
        <v>5</v>
      </c>
      <c r="D286" s="136"/>
      <c r="E286" s="138" t="s">
        <v>78</v>
      </c>
      <c r="F286" s="134"/>
      <c r="G286" s="135"/>
      <c r="H286" s="135"/>
      <c r="I286" s="135"/>
      <c r="J286" s="135"/>
      <c r="K286" s="135">
        <v>500</v>
      </c>
      <c r="L286" s="133">
        <f t="shared" si="50"/>
        <v>500</v>
      </c>
      <c r="M286" s="133">
        <v>500</v>
      </c>
      <c r="N286" s="133">
        <v>0</v>
      </c>
      <c r="O286" s="862">
        <v>0</v>
      </c>
      <c r="P286" s="773" t="s">
        <v>395</v>
      </c>
      <c r="Q286" s="657"/>
    </row>
    <row r="287" spans="1:178" s="298" customFormat="1" ht="66.75" customHeight="1">
      <c r="A287" s="636"/>
      <c r="B287" s="297"/>
      <c r="C287" s="87">
        <v>6</v>
      </c>
      <c r="D287" s="136"/>
      <c r="E287" s="138" t="s">
        <v>77</v>
      </c>
      <c r="F287" s="134"/>
      <c r="G287" s="135"/>
      <c r="H287" s="135"/>
      <c r="I287" s="135"/>
      <c r="J287" s="135"/>
      <c r="K287" s="135">
        <v>4000</v>
      </c>
      <c r="L287" s="133">
        <f t="shared" si="50"/>
        <v>4000</v>
      </c>
      <c r="M287" s="133">
        <v>4000</v>
      </c>
      <c r="N287" s="133">
        <v>0</v>
      </c>
      <c r="O287" s="862">
        <v>0</v>
      </c>
      <c r="P287" s="773" t="s">
        <v>395</v>
      </c>
      <c r="Q287" s="657"/>
    </row>
    <row r="288" spans="1:178" s="298" customFormat="1" ht="66.75" customHeight="1">
      <c r="A288" s="636"/>
      <c r="B288" s="297"/>
      <c r="C288" s="87">
        <v>7</v>
      </c>
      <c r="D288" s="136"/>
      <c r="E288" s="138" t="s">
        <v>76</v>
      </c>
      <c r="F288" s="134"/>
      <c r="G288" s="135"/>
      <c r="H288" s="135"/>
      <c r="I288" s="135"/>
      <c r="J288" s="135"/>
      <c r="K288" s="135">
        <v>1000</v>
      </c>
      <c r="L288" s="133">
        <f t="shared" si="50"/>
        <v>1000</v>
      </c>
      <c r="M288" s="133">
        <v>1000</v>
      </c>
      <c r="N288" s="133">
        <v>296</v>
      </c>
      <c r="O288" s="862">
        <f>N288/M288</f>
        <v>0.29599999999999999</v>
      </c>
      <c r="P288" s="773" t="s">
        <v>395</v>
      </c>
      <c r="Q288" s="657"/>
    </row>
    <row r="289" spans="1:17" s="296" customFormat="1" ht="66.75" customHeight="1">
      <c r="A289" s="636"/>
      <c r="B289" s="297"/>
      <c r="C289" s="15">
        <v>8</v>
      </c>
      <c r="D289" s="130"/>
      <c r="E289" s="131" t="s">
        <v>266</v>
      </c>
      <c r="F289" s="129"/>
      <c r="G289" s="140"/>
      <c r="H289" s="140"/>
      <c r="I289" s="140"/>
      <c r="J289" s="140"/>
      <c r="K289" s="140">
        <v>6000</v>
      </c>
      <c r="L289" s="128">
        <f t="shared" si="50"/>
        <v>6000</v>
      </c>
      <c r="M289" s="128">
        <v>6000</v>
      </c>
      <c r="N289" s="128">
        <f>2273.96-413</f>
        <v>1860.96</v>
      </c>
      <c r="O289" s="861">
        <f>N289/M289</f>
        <v>0.31015999999999999</v>
      </c>
      <c r="P289" s="769" t="s">
        <v>395</v>
      </c>
      <c r="Q289" s="653"/>
    </row>
    <row r="290" spans="1:17" s="47" customFormat="1" ht="62.25" customHeight="1">
      <c r="A290" s="429"/>
      <c r="B290" s="75">
        <v>75421</v>
      </c>
      <c r="C290" s="74"/>
      <c r="D290" s="176"/>
      <c r="E290" s="175" t="s">
        <v>75</v>
      </c>
      <c r="F290" s="92">
        <f t="shared" ref="F290:K290" si="51">F291</f>
        <v>0</v>
      </c>
      <c r="G290" s="92">
        <f t="shared" si="51"/>
        <v>0</v>
      </c>
      <c r="H290" s="92">
        <f t="shared" si="51"/>
        <v>0</v>
      </c>
      <c r="I290" s="92">
        <f t="shared" si="51"/>
        <v>0</v>
      </c>
      <c r="J290" s="92">
        <f t="shared" si="51"/>
        <v>0</v>
      </c>
      <c r="K290" s="92">
        <f t="shared" si="51"/>
        <v>222780.01</v>
      </c>
      <c r="L290" s="92">
        <f t="shared" si="50"/>
        <v>222780.01</v>
      </c>
      <c r="M290" s="92">
        <f>M291</f>
        <v>222780.01</v>
      </c>
      <c r="N290" s="92">
        <v>0</v>
      </c>
      <c r="O290" s="755">
        <v>0</v>
      </c>
      <c r="P290" s="780" t="s">
        <v>395</v>
      </c>
      <c r="Q290" s="664"/>
    </row>
    <row r="291" spans="1:17" s="250" customFormat="1" ht="72.75" customHeight="1">
      <c r="A291" s="429"/>
      <c r="B291" s="289"/>
      <c r="C291" s="481">
        <v>1</v>
      </c>
      <c r="D291" s="445"/>
      <c r="E291" s="541" t="s">
        <v>74</v>
      </c>
      <c r="F291" s="447"/>
      <c r="G291" s="419"/>
      <c r="H291" s="419"/>
      <c r="I291" s="419"/>
      <c r="J291" s="542"/>
      <c r="K291" s="419">
        <f>270000-1219.99-6000-40000</f>
        <v>222780.01</v>
      </c>
      <c r="L291" s="419">
        <f t="shared" si="50"/>
        <v>222780.01</v>
      </c>
      <c r="M291" s="419">
        <v>222780.01</v>
      </c>
      <c r="N291" s="419">
        <v>0</v>
      </c>
      <c r="O291" s="845">
        <v>0</v>
      </c>
      <c r="P291" s="781" t="s">
        <v>395</v>
      </c>
      <c r="Q291" s="665"/>
    </row>
    <row r="292" spans="1:17" s="165" customFormat="1" ht="99" customHeight="1">
      <c r="A292" s="429"/>
      <c r="B292" s="289"/>
      <c r="C292" s="344"/>
      <c r="D292" s="200"/>
      <c r="E292" s="1260" t="s">
        <v>153</v>
      </c>
      <c r="F292" s="1260"/>
      <c r="G292" s="1260"/>
      <c r="H292" s="1260"/>
      <c r="I292" s="1260"/>
      <c r="J292" s="1260"/>
      <c r="K292" s="1260"/>
      <c r="L292" s="1260"/>
      <c r="M292" s="1260"/>
      <c r="N292" s="1260"/>
      <c r="O292" s="1260"/>
      <c r="P292" s="780"/>
      <c r="Q292" s="664"/>
    </row>
    <row r="293" spans="1:17" s="47" customFormat="1" ht="60" customHeight="1">
      <c r="A293" s="584"/>
      <c r="B293" s="75">
        <v>75495</v>
      </c>
      <c r="C293" s="74"/>
      <c r="D293" s="176"/>
      <c r="E293" s="175" t="s">
        <v>5</v>
      </c>
      <c r="F293" s="92">
        <f>F294+F295</f>
        <v>0</v>
      </c>
      <c r="G293" s="92">
        <f t="shared" ref="G293:L293" si="52">G294+G295</f>
        <v>0</v>
      </c>
      <c r="H293" s="92">
        <f t="shared" si="52"/>
        <v>0</v>
      </c>
      <c r="I293" s="92">
        <f t="shared" si="52"/>
        <v>0</v>
      </c>
      <c r="J293" s="92">
        <f t="shared" si="52"/>
        <v>0</v>
      </c>
      <c r="K293" s="92">
        <f t="shared" si="52"/>
        <v>62000</v>
      </c>
      <c r="L293" s="92">
        <f t="shared" si="52"/>
        <v>62000</v>
      </c>
      <c r="M293" s="92">
        <f t="shared" ref="M293" si="53">M294+M295</f>
        <v>62000</v>
      </c>
      <c r="N293" s="92">
        <f>N294+N295</f>
        <v>6478.96</v>
      </c>
      <c r="O293" s="755">
        <f>N293/M293</f>
        <v>0.10449935483870967</v>
      </c>
      <c r="P293" s="780" t="s">
        <v>395</v>
      </c>
      <c r="Q293" s="664"/>
    </row>
    <row r="294" spans="1:17" s="165" customFormat="1" ht="69.75" customHeight="1">
      <c r="A294" s="585"/>
      <c r="B294" s="401"/>
      <c r="C294" s="198">
        <v>1</v>
      </c>
      <c r="D294" s="402"/>
      <c r="E294" s="403" t="s">
        <v>207</v>
      </c>
      <c r="F294" s="205"/>
      <c r="G294" s="451"/>
      <c r="H294" s="451"/>
      <c r="I294" s="451"/>
      <c r="J294" s="512"/>
      <c r="K294" s="451">
        <v>32000</v>
      </c>
      <c r="L294" s="475">
        <f t="shared" ref="L294:L303" si="54">SUM(F294:K294)</f>
        <v>32000</v>
      </c>
      <c r="M294" s="475">
        <v>32000</v>
      </c>
      <c r="N294" s="475">
        <v>6478.96</v>
      </c>
      <c r="O294" s="869">
        <f>N294/M294</f>
        <v>0.20246749999999999</v>
      </c>
      <c r="P294" s="780" t="s">
        <v>395</v>
      </c>
      <c r="Q294" s="664"/>
    </row>
    <row r="295" spans="1:17" s="406" customFormat="1" ht="69.75" customHeight="1">
      <c r="A295" s="586"/>
      <c r="B295" s="404"/>
      <c r="C295" s="632">
        <v>2</v>
      </c>
      <c r="D295" s="633"/>
      <c r="E295" s="405" t="s">
        <v>187</v>
      </c>
      <c r="F295" s="513"/>
      <c r="G295" s="514"/>
      <c r="H295" s="514"/>
      <c r="I295" s="514"/>
      <c r="J295" s="514"/>
      <c r="K295" s="366">
        <v>30000</v>
      </c>
      <c r="L295" s="515">
        <f t="shared" si="54"/>
        <v>30000</v>
      </c>
      <c r="M295" s="515">
        <v>30000</v>
      </c>
      <c r="N295" s="515">
        <v>0</v>
      </c>
      <c r="O295" s="868">
        <v>0</v>
      </c>
      <c r="P295" s="764" t="s">
        <v>395</v>
      </c>
      <c r="Q295" s="666"/>
    </row>
    <row r="296" spans="1:17" s="427" customFormat="1" ht="44.4" customHeight="1">
      <c r="A296" s="1211"/>
      <c r="B296" s="1221"/>
      <c r="C296" s="1243"/>
      <c r="D296" s="1238"/>
      <c r="E296" s="1188" t="s">
        <v>759</v>
      </c>
      <c r="F296" s="1239"/>
      <c r="G296" s="1240"/>
      <c r="H296" s="1240"/>
      <c r="I296" s="1240"/>
      <c r="J296" s="1240"/>
      <c r="K296" s="1244"/>
      <c r="L296" s="1245"/>
      <c r="M296" s="1245"/>
      <c r="N296" s="1245"/>
      <c r="O296" s="1246"/>
      <c r="P296" s="768"/>
      <c r="Q296" s="655"/>
    </row>
    <row r="297" spans="1:17" s="197" customFormat="1" ht="63.75" customHeight="1">
      <c r="A297" s="587">
        <v>10</v>
      </c>
      <c r="B297" s="82">
        <v>757</v>
      </c>
      <c r="C297" s="81"/>
      <c r="D297" s="80"/>
      <c r="E297" s="79" t="s">
        <v>73</v>
      </c>
      <c r="F297" s="78">
        <v>0</v>
      </c>
      <c r="G297" s="77">
        <v>0</v>
      </c>
      <c r="H297" s="77">
        <v>0</v>
      </c>
      <c r="I297" s="77">
        <v>0</v>
      </c>
      <c r="J297" s="77">
        <v>0</v>
      </c>
      <c r="K297" s="77">
        <f>K298</f>
        <v>660000</v>
      </c>
      <c r="L297" s="77">
        <f t="shared" si="54"/>
        <v>660000</v>
      </c>
      <c r="M297" s="77">
        <f>M298</f>
        <v>628000</v>
      </c>
      <c r="N297" s="77">
        <f>N298</f>
        <v>170164.11</v>
      </c>
      <c r="O297" s="834">
        <f>N297/M297</f>
        <v>0.27096195859872607</v>
      </c>
      <c r="P297" s="765" t="s">
        <v>395</v>
      </c>
      <c r="Q297" s="651"/>
    </row>
    <row r="298" spans="1:17" s="197" customFormat="1" ht="63.75" customHeight="1">
      <c r="A298" s="559"/>
      <c r="B298" s="172">
        <v>75702</v>
      </c>
      <c r="C298" s="171"/>
      <c r="D298" s="170"/>
      <c r="E298" s="169" t="s">
        <v>72</v>
      </c>
      <c r="F298" s="409">
        <v>0</v>
      </c>
      <c r="G298" s="295">
        <v>0</v>
      </c>
      <c r="H298" s="295">
        <v>0</v>
      </c>
      <c r="I298" s="295">
        <v>0</v>
      </c>
      <c r="J298" s="295">
        <v>0</v>
      </c>
      <c r="K298" s="295">
        <f>K299</f>
        <v>660000</v>
      </c>
      <c r="L298" s="295">
        <f t="shared" si="54"/>
        <v>660000</v>
      </c>
      <c r="M298" s="295">
        <f>M299</f>
        <v>628000</v>
      </c>
      <c r="N298" s="295">
        <f>N299</f>
        <v>170164.11</v>
      </c>
      <c r="O298" s="836">
        <f>N298/M298</f>
        <v>0.27096195859872607</v>
      </c>
      <c r="P298" s="765" t="s">
        <v>395</v>
      </c>
      <c r="Q298" s="651"/>
    </row>
    <row r="299" spans="1:17" s="291" customFormat="1" ht="63.75" customHeight="1">
      <c r="A299" s="559"/>
      <c r="B299" s="216"/>
      <c r="C299" s="294">
        <v>1</v>
      </c>
      <c r="D299" s="293"/>
      <c r="E299" s="292" t="s">
        <v>71</v>
      </c>
      <c r="F299" s="516"/>
      <c r="G299" s="275"/>
      <c r="H299" s="275"/>
      <c r="I299" s="275"/>
      <c r="J299" s="275"/>
      <c r="K299" s="275">
        <f>700000-40000</f>
        <v>660000</v>
      </c>
      <c r="L299" s="275">
        <f t="shared" si="54"/>
        <v>660000</v>
      </c>
      <c r="M299" s="275">
        <v>628000</v>
      </c>
      <c r="N299" s="275">
        <v>170164.11</v>
      </c>
      <c r="O299" s="870">
        <f>N299/M299</f>
        <v>0.27096195859872607</v>
      </c>
      <c r="P299" s="765" t="s">
        <v>395</v>
      </c>
      <c r="Q299" s="651"/>
    </row>
    <row r="300" spans="1:17" s="165" customFormat="1" ht="63.75" customHeight="1">
      <c r="A300" s="196">
        <v>11</v>
      </c>
      <c r="B300" s="82" t="s">
        <v>70</v>
      </c>
      <c r="C300" s="81"/>
      <c r="D300" s="195"/>
      <c r="E300" s="194" t="s">
        <v>69</v>
      </c>
      <c r="F300" s="78">
        <f t="shared" ref="F300:K300" si="55">F301</f>
        <v>0</v>
      </c>
      <c r="G300" s="77">
        <f t="shared" si="55"/>
        <v>0</v>
      </c>
      <c r="H300" s="77">
        <f t="shared" si="55"/>
        <v>0</v>
      </c>
      <c r="I300" s="77">
        <f t="shared" si="55"/>
        <v>0</v>
      </c>
      <c r="J300" s="77">
        <f t="shared" si="55"/>
        <v>0</v>
      </c>
      <c r="K300" s="77">
        <f t="shared" si="55"/>
        <v>360000</v>
      </c>
      <c r="L300" s="77">
        <f t="shared" si="54"/>
        <v>360000</v>
      </c>
      <c r="M300" s="77">
        <f>M301</f>
        <v>220260</v>
      </c>
      <c r="N300" s="77">
        <v>0</v>
      </c>
      <c r="O300" s="834">
        <v>0</v>
      </c>
      <c r="P300" s="780" t="s">
        <v>395</v>
      </c>
      <c r="Q300" s="664"/>
    </row>
    <row r="301" spans="1:17" s="47" customFormat="1" ht="63.75" customHeight="1">
      <c r="A301" s="429"/>
      <c r="B301" s="172" t="s">
        <v>68</v>
      </c>
      <c r="C301" s="171"/>
      <c r="D301" s="192"/>
      <c r="E301" s="191" t="s">
        <v>67</v>
      </c>
      <c r="F301" s="409">
        <f>F302+F303</f>
        <v>0</v>
      </c>
      <c r="G301" s="92">
        <f>G302+G303</f>
        <v>0</v>
      </c>
      <c r="H301" s="92">
        <f>H302+H303</f>
        <v>0</v>
      </c>
      <c r="I301" s="92">
        <f>I302+I303</f>
        <v>0</v>
      </c>
      <c r="J301" s="92">
        <f>J302+J303</f>
        <v>0</v>
      </c>
      <c r="K301" s="92">
        <f>SUM(K302:K303)</f>
        <v>360000</v>
      </c>
      <c r="L301" s="92">
        <f t="shared" si="54"/>
        <v>360000</v>
      </c>
      <c r="M301" s="92">
        <f>M302+M303</f>
        <v>220260</v>
      </c>
      <c r="N301" s="92">
        <v>0</v>
      </c>
      <c r="O301" s="755">
        <v>0</v>
      </c>
      <c r="P301" s="780" t="s">
        <v>395</v>
      </c>
      <c r="Q301" s="664"/>
    </row>
    <row r="302" spans="1:17" s="290" customFormat="1" ht="55.5" customHeight="1">
      <c r="A302" s="429"/>
      <c r="B302" s="289"/>
      <c r="C302" s="210">
        <v>1</v>
      </c>
      <c r="D302" s="209"/>
      <c r="E302" s="208" t="s">
        <v>66</v>
      </c>
      <c r="F302" s="415"/>
      <c r="G302" s="414"/>
      <c r="H302" s="414"/>
      <c r="I302" s="414"/>
      <c r="J302" s="414"/>
      <c r="K302" s="414">
        <f>300000-10000-10000</f>
        <v>280000</v>
      </c>
      <c r="L302" s="419">
        <f t="shared" si="54"/>
        <v>280000</v>
      </c>
      <c r="M302" s="419">
        <v>220260</v>
      </c>
      <c r="N302" s="419">
        <v>0</v>
      </c>
      <c r="O302" s="845">
        <v>0</v>
      </c>
      <c r="P302" s="782" t="s">
        <v>395</v>
      </c>
      <c r="Q302" s="667"/>
    </row>
    <row r="303" spans="1:17" s="165" customFormat="1" ht="157.5" customHeight="1">
      <c r="A303" s="429"/>
      <c r="B303" s="289"/>
      <c r="C303" s="204">
        <v>2</v>
      </c>
      <c r="D303" s="203"/>
      <c r="E303" s="288" t="s">
        <v>347</v>
      </c>
      <c r="F303" s="201"/>
      <c r="G303" s="101"/>
      <c r="H303" s="101"/>
      <c r="I303" s="101"/>
      <c r="J303" s="287"/>
      <c r="K303" s="101">
        <f>30000+50000</f>
        <v>80000</v>
      </c>
      <c r="L303" s="101">
        <f t="shared" si="54"/>
        <v>80000</v>
      </c>
      <c r="M303" s="101">
        <v>0</v>
      </c>
      <c r="N303" s="101">
        <v>0</v>
      </c>
      <c r="O303" s="871">
        <v>0</v>
      </c>
      <c r="P303" s="780" t="s">
        <v>395</v>
      </c>
      <c r="Q303" s="664"/>
    </row>
    <row r="304" spans="1:17" s="76" customFormat="1" ht="60" customHeight="1">
      <c r="A304" s="83">
        <v>12</v>
      </c>
      <c r="B304" s="82">
        <v>801</v>
      </c>
      <c r="C304" s="81"/>
      <c r="D304" s="80"/>
      <c r="E304" s="79" t="s">
        <v>65</v>
      </c>
      <c r="F304" s="77">
        <f t="shared" ref="F304:K304" si="56">F305+F397+F488+F671+F760+F764+F773+F1398+F669+F1034+F1257+F1346</f>
        <v>0</v>
      </c>
      <c r="G304" s="77">
        <f t="shared" si="56"/>
        <v>0</v>
      </c>
      <c r="H304" s="77">
        <f t="shared" si="56"/>
        <v>970089.2</v>
      </c>
      <c r="I304" s="77">
        <f t="shared" si="56"/>
        <v>0</v>
      </c>
      <c r="J304" s="77">
        <f t="shared" si="56"/>
        <v>0</v>
      </c>
      <c r="K304" s="77" t="e">
        <f t="shared" si="56"/>
        <v>#REF!</v>
      </c>
      <c r="L304" s="77">
        <f>L305+L397+L488+L671+L760+L764+L773+L1398+L669+L1034+L1257+L1346+L1392</f>
        <v>31887629.199999999</v>
      </c>
      <c r="M304" s="77">
        <f t="shared" ref="M304:N304" si="57">M305+M397+M488+M671+M760+M764+M773+M1398+M669+M1034+M1257+M1346+M1392</f>
        <v>34303892.699999996</v>
      </c>
      <c r="N304" s="77">
        <f t="shared" si="57"/>
        <v>17182078.370000005</v>
      </c>
      <c r="O304" s="834">
        <f>N304/M304</f>
        <v>0.50087838486038661</v>
      </c>
      <c r="P304" s="764" t="s">
        <v>395</v>
      </c>
      <c r="Q304" s="650"/>
    </row>
    <row r="305" spans="1:18" s="76" customFormat="1" ht="60" customHeight="1">
      <c r="A305" s="573"/>
      <c r="B305" s="172">
        <v>80101</v>
      </c>
      <c r="C305" s="171"/>
      <c r="D305" s="170"/>
      <c r="E305" s="169" t="s">
        <v>64</v>
      </c>
      <c r="F305" s="409">
        <f>F306</f>
        <v>0</v>
      </c>
      <c r="G305" s="409">
        <f>G306</f>
        <v>0</v>
      </c>
      <c r="H305" s="409">
        <f>H306</f>
        <v>0</v>
      </c>
      <c r="I305" s="409">
        <f>I306</f>
        <v>0</v>
      </c>
      <c r="J305" s="409">
        <f>J306</f>
        <v>0</v>
      </c>
      <c r="K305" s="409">
        <f>K306+K395+K396</f>
        <v>10183000</v>
      </c>
      <c r="L305" s="92">
        <f>L306+L395+L396</f>
        <v>10183000</v>
      </c>
      <c r="M305" s="92">
        <f t="shared" ref="M305:N305" si="58">M306+M395+M396</f>
        <v>10540584</v>
      </c>
      <c r="N305" s="92">
        <f t="shared" si="58"/>
        <v>6318466.700000002</v>
      </c>
      <c r="O305" s="755">
        <f>N305/M305</f>
        <v>0.59944180512199341</v>
      </c>
      <c r="P305" s="764" t="s">
        <v>395</v>
      </c>
      <c r="Q305" s="650"/>
    </row>
    <row r="306" spans="1:18" s="186" customFormat="1" ht="60" customHeight="1">
      <c r="A306" s="487"/>
      <c r="B306" s="173"/>
      <c r="C306" s="190" t="s">
        <v>21</v>
      </c>
      <c r="D306" s="189"/>
      <c r="E306" s="188" t="s">
        <v>148</v>
      </c>
      <c r="F306" s="432"/>
      <c r="G306" s="432"/>
      <c r="H306" s="432"/>
      <c r="I306" s="432"/>
      <c r="J306" s="432"/>
      <c r="K306" s="432">
        <f>K307+K351</f>
        <v>8978000</v>
      </c>
      <c r="L306" s="432">
        <f>L307+L351</f>
        <v>8978000</v>
      </c>
      <c r="M306" s="432">
        <f t="shared" ref="M306:N306" si="59">M307+M351</f>
        <v>9158584</v>
      </c>
      <c r="N306" s="432">
        <f t="shared" si="59"/>
        <v>5664379.0900000017</v>
      </c>
      <c r="O306" s="819">
        <f>N306/M306</f>
        <v>0.61847760417986031</v>
      </c>
      <c r="P306" s="780" t="s">
        <v>395</v>
      </c>
      <c r="Q306" s="664"/>
    </row>
    <row r="307" spans="1:18" s="434" customFormat="1" ht="60" customHeight="1">
      <c r="A307" s="433"/>
      <c r="B307" s="420"/>
      <c r="C307" s="394">
        <v>1</v>
      </c>
      <c r="D307" s="425"/>
      <c r="E307" s="543" t="s">
        <v>220</v>
      </c>
      <c r="F307" s="421"/>
      <c r="G307" s="421"/>
      <c r="H307" s="421"/>
      <c r="I307" s="421"/>
      <c r="J307" s="421"/>
      <c r="K307" s="428">
        <f>5022000+4000</f>
        <v>5026000</v>
      </c>
      <c r="L307" s="428">
        <f>L308+L327+L349</f>
        <v>5026000</v>
      </c>
      <c r="M307" s="428">
        <f t="shared" ref="M307:N307" si="60">M308+M327+M349</f>
        <v>5076000</v>
      </c>
      <c r="N307" s="428">
        <f t="shared" si="60"/>
        <v>3042332.9900000012</v>
      </c>
      <c r="O307" s="872">
        <f>N307/M307</f>
        <v>0.5993563810086685</v>
      </c>
      <c r="P307" s="765" t="s">
        <v>395</v>
      </c>
      <c r="Q307" s="651"/>
    </row>
    <row r="308" spans="1:18" s="431" customFormat="1" ht="39.9" customHeight="1">
      <c r="A308" s="987"/>
      <c r="B308" s="944"/>
      <c r="C308" s="458"/>
      <c r="D308" s="444"/>
      <c r="E308" s="945" t="s">
        <v>412</v>
      </c>
      <c r="F308" s="976"/>
      <c r="G308" s="946"/>
      <c r="H308" s="946"/>
      <c r="I308" s="946"/>
      <c r="J308" s="947"/>
      <c r="K308" s="948"/>
      <c r="L308" s="949">
        <v>4200000</v>
      </c>
      <c r="M308" s="949">
        <v>4200000</v>
      </c>
      <c r="N308" s="977">
        <f>SUM(N310:N326)</f>
        <v>2515507.7500000009</v>
      </c>
      <c r="O308" s="978">
        <f>N308/M308</f>
        <v>0.59893041666666691</v>
      </c>
      <c r="P308" s="780" t="s">
        <v>395</v>
      </c>
      <c r="Q308" s="908" t="s">
        <v>305</v>
      </c>
      <c r="R308" s="951"/>
    </row>
    <row r="309" spans="1:18" s="440" customFormat="1" ht="34.5" customHeight="1">
      <c r="A309" s="984"/>
      <c r="B309" s="972"/>
      <c r="C309" s="450"/>
      <c r="D309" s="438"/>
      <c r="E309" s="952" t="s">
        <v>13</v>
      </c>
      <c r="F309" s="985"/>
      <c r="G309" s="973"/>
      <c r="H309" s="973"/>
      <c r="I309" s="973"/>
      <c r="J309" s="973"/>
      <c r="K309" s="383"/>
      <c r="L309" s="980"/>
      <c r="M309" s="980"/>
      <c r="N309" s="980"/>
      <c r="O309" s="981"/>
      <c r="P309" s="772"/>
      <c r="Q309" s="812"/>
      <c r="R309" s="953"/>
    </row>
    <row r="310" spans="1:18" s="440" customFormat="1" ht="43.5" customHeight="1">
      <c r="A310" s="984"/>
      <c r="B310" s="972"/>
      <c r="C310" s="450"/>
      <c r="D310" s="425"/>
      <c r="E310" s="954" t="s">
        <v>524</v>
      </c>
      <c r="F310" s="985"/>
      <c r="G310" s="973"/>
      <c r="H310" s="973"/>
      <c r="I310" s="973"/>
      <c r="J310" s="973"/>
      <c r="K310" s="383"/>
      <c r="L310" s="955"/>
      <c r="M310" s="955"/>
      <c r="N310" s="983">
        <v>1324069.8700000001</v>
      </c>
      <c r="O310" s="981"/>
      <c r="P310" s="772"/>
      <c r="Q310" s="812"/>
      <c r="R310" s="953"/>
    </row>
    <row r="311" spans="1:18" s="440" customFormat="1" ht="64.8" customHeight="1">
      <c r="A311" s="984"/>
      <c r="B311" s="972"/>
      <c r="C311" s="450"/>
      <c r="D311" s="438"/>
      <c r="E311" s="954" t="s">
        <v>525</v>
      </c>
      <c r="F311" s="985"/>
      <c r="G311" s="973"/>
      <c r="H311" s="973"/>
      <c r="I311" s="973"/>
      <c r="J311" s="973"/>
      <c r="K311" s="383"/>
      <c r="L311" s="955"/>
      <c r="M311" s="955"/>
      <c r="N311" s="983">
        <v>23277.599999999999</v>
      </c>
      <c r="O311" s="981"/>
      <c r="P311" s="772"/>
      <c r="Q311" s="812"/>
      <c r="R311" s="953"/>
    </row>
    <row r="312" spans="1:18" s="440" customFormat="1" ht="60.6" customHeight="1">
      <c r="A312" s="984"/>
      <c r="B312" s="972"/>
      <c r="C312" s="450"/>
      <c r="D312" s="438"/>
      <c r="E312" s="954" t="s">
        <v>526</v>
      </c>
      <c r="F312" s="985"/>
      <c r="G312" s="973"/>
      <c r="H312" s="973"/>
      <c r="I312" s="973"/>
      <c r="J312" s="973"/>
      <c r="K312" s="383"/>
      <c r="L312" s="955"/>
      <c r="M312" s="955"/>
      <c r="N312" s="983">
        <v>49615.09</v>
      </c>
      <c r="O312" s="981"/>
      <c r="P312" s="772"/>
      <c r="Q312" s="812"/>
      <c r="R312" s="953"/>
    </row>
    <row r="313" spans="1:18" s="440" customFormat="1" ht="43.5" customHeight="1">
      <c r="A313" s="984"/>
      <c r="B313" s="972"/>
      <c r="C313" s="450"/>
      <c r="D313" s="438"/>
      <c r="E313" s="954" t="s">
        <v>527</v>
      </c>
      <c r="F313" s="985"/>
      <c r="G313" s="973"/>
      <c r="H313" s="973"/>
      <c r="I313" s="973"/>
      <c r="J313" s="973"/>
      <c r="K313" s="383"/>
      <c r="L313" s="955"/>
      <c r="M313" s="955"/>
      <c r="N313" s="983">
        <v>25100.36</v>
      </c>
      <c r="O313" s="981"/>
      <c r="P313" s="772"/>
      <c r="Q313" s="812"/>
      <c r="R313" s="953"/>
    </row>
    <row r="314" spans="1:18" s="440" customFormat="1" ht="43.5" customHeight="1">
      <c r="A314" s="984"/>
      <c r="B314" s="972"/>
      <c r="C314" s="450"/>
      <c r="D314" s="438"/>
      <c r="E314" s="954" t="s">
        <v>528</v>
      </c>
      <c r="F314" s="985"/>
      <c r="G314" s="973"/>
      <c r="H314" s="973"/>
      <c r="I314" s="973"/>
      <c r="J314" s="973"/>
      <c r="K314" s="383"/>
      <c r="L314" s="955"/>
      <c r="M314" s="955"/>
      <c r="N314" s="983">
        <v>5458.21</v>
      </c>
      <c r="O314" s="981"/>
      <c r="P314" s="772"/>
      <c r="Q314" s="812"/>
      <c r="R314" s="953"/>
    </row>
    <row r="315" spans="1:18" s="440" customFormat="1" ht="43.5" customHeight="1">
      <c r="A315" s="984"/>
      <c r="B315" s="972"/>
      <c r="C315" s="450"/>
      <c r="D315" s="438"/>
      <c r="E315" s="954" t="s">
        <v>437</v>
      </c>
      <c r="F315" s="985"/>
      <c r="G315" s="973"/>
      <c r="H315" s="973"/>
      <c r="I315" s="973"/>
      <c r="J315" s="973"/>
      <c r="K315" s="383"/>
      <c r="L315" s="955"/>
      <c r="M315" s="955"/>
      <c r="N315" s="983">
        <v>0</v>
      </c>
      <c r="O315" s="981"/>
      <c r="P315" s="772"/>
      <c r="Q315" s="812"/>
      <c r="R315" s="953"/>
    </row>
    <row r="316" spans="1:18" s="440" customFormat="1" ht="43.5" customHeight="1">
      <c r="A316" s="984"/>
      <c r="B316" s="972"/>
      <c r="C316" s="450"/>
      <c r="D316" s="438"/>
      <c r="E316" s="954" t="s">
        <v>529</v>
      </c>
      <c r="F316" s="985"/>
      <c r="G316" s="973"/>
      <c r="H316" s="973"/>
      <c r="I316" s="973"/>
      <c r="J316" s="973"/>
      <c r="K316" s="383"/>
      <c r="L316" s="955"/>
      <c r="M316" s="955"/>
      <c r="N316" s="983">
        <v>4366.07</v>
      </c>
      <c r="O316" s="981"/>
      <c r="P316" s="772"/>
      <c r="Q316" s="812"/>
      <c r="R316" s="953"/>
    </row>
    <row r="317" spans="1:18" s="440" customFormat="1" ht="43.5" customHeight="1">
      <c r="A317" s="984"/>
      <c r="B317" s="972"/>
      <c r="C317" s="450"/>
      <c r="D317" s="438"/>
      <c r="E317" s="954" t="s">
        <v>530</v>
      </c>
      <c r="F317" s="985"/>
      <c r="G317" s="973"/>
      <c r="H317" s="973"/>
      <c r="I317" s="973"/>
      <c r="J317" s="973"/>
      <c r="K317" s="383"/>
      <c r="L317" s="955"/>
      <c r="M317" s="955"/>
      <c r="N317" s="983">
        <v>1807.04</v>
      </c>
      <c r="O317" s="981"/>
      <c r="P317" s="772"/>
      <c r="Q317" s="812"/>
      <c r="R317" s="953"/>
    </row>
    <row r="318" spans="1:18" s="440" customFormat="1" ht="43.5" customHeight="1">
      <c r="A318" s="984"/>
      <c r="B318" s="972"/>
      <c r="C318" s="450"/>
      <c r="D318" s="438"/>
      <c r="E318" s="954" t="s">
        <v>521</v>
      </c>
      <c r="F318" s="985"/>
      <c r="G318" s="973"/>
      <c r="H318" s="973"/>
      <c r="I318" s="973"/>
      <c r="J318" s="973"/>
      <c r="K318" s="383"/>
      <c r="L318" s="955"/>
      <c r="M318" s="955"/>
      <c r="N318" s="983">
        <v>10101.6</v>
      </c>
      <c r="O318" s="981"/>
      <c r="P318" s="772"/>
      <c r="Q318" s="812"/>
      <c r="R318" s="953"/>
    </row>
    <row r="319" spans="1:18" s="440" customFormat="1" ht="43.5" customHeight="1">
      <c r="A319" s="984"/>
      <c r="B319" s="972"/>
      <c r="C319" s="450"/>
      <c r="D319" s="438"/>
      <c r="E319" s="954" t="s">
        <v>440</v>
      </c>
      <c r="F319" s="985"/>
      <c r="G319" s="973"/>
      <c r="H319" s="973"/>
      <c r="I319" s="973"/>
      <c r="J319" s="973"/>
      <c r="K319" s="383"/>
      <c r="L319" s="955"/>
      <c r="M319" s="955"/>
      <c r="N319" s="983">
        <v>0</v>
      </c>
      <c r="O319" s="981"/>
      <c r="P319" s="772"/>
      <c r="Q319" s="812"/>
      <c r="R319" s="953"/>
    </row>
    <row r="320" spans="1:18" s="440" customFormat="1" ht="43.5" customHeight="1">
      <c r="A320" s="984"/>
      <c r="B320" s="972"/>
      <c r="C320" s="450"/>
      <c r="D320" s="438"/>
      <c r="E320" s="954" t="s">
        <v>522</v>
      </c>
      <c r="F320" s="985"/>
      <c r="G320" s="973"/>
      <c r="H320" s="973"/>
      <c r="I320" s="973"/>
      <c r="J320" s="973"/>
      <c r="K320" s="383"/>
      <c r="L320" s="955"/>
      <c r="M320" s="955"/>
      <c r="N320" s="983">
        <v>1122.4000000000001</v>
      </c>
      <c r="O320" s="981"/>
      <c r="P320" s="772"/>
      <c r="Q320" s="812"/>
      <c r="R320" s="953"/>
    </row>
    <row r="321" spans="1:18" s="440" customFormat="1" ht="60.6" customHeight="1">
      <c r="A321" s="984"/>
      <c r="B321" s="972"/>
      <c r="C321" s="450"/>
      <c r="D321" s="438"/>
      <c r="E321" s="954" t="s">
        <v>531</v>
      </c>
      <c r="F321" s="985"/>
      <c r="G321" s="973"/>
      <c r="H321" s="973"/>
      <c r="I321" s="973"/>
      <c r="J321" s="973"/>
      <c r="K321" s="383"/>
      <c r="L321" s="955"/>
      <c r="M321" s="955"/>
      <c r="N321" s="983">
        <v>353671.13</v>
      </c>
      <c r="O321" s="981"/>
      <c r="P321" s="772"/>
      <c r="Q321" s="812"/>
      <c r="R321" s="953"/>
    </row>
    <row r="322" spans="1:18" s="440" customFormat="1" ht="43.5" customHeight="1">
      <c r="A322" s="984"/>
      <c r="B322" s="972"/>
      <c r="C322" s="450"/>
      <c r="D322" s="438"/>
      <c r="E322" s="954" t="s">
        <v>442</v>
      </c>
      <c r="F322" s="985"/>
      <c r="G322" s="973"/>
      <c r="H322" s="973"/>
      <c r="I322" s="973"/>
      <c r="J322" s="973"/>
      <c r="K322" s="383"/>
      <c r="L322" s="955"/>
      <c r="M322" s="955"/>
      <c r="N322" s="983">
        <v>0</v>
      </c>
      <c r="O322" s="981"/>
      <c r="P322" s="772"/>
      <c r="Q322" s="812"/>
      <c r="R322" s="953"/>
    </row>
    <row r="323" spans="1:18" s="440" customFormat="1" ht="43.5" customHeight="1">
      <c r="A323" s="984"/>
      <c r="B323" s="972"/>
      <c r="C323" s="450"/>
      <c r="D323" s="438"/>
      <c r="E323" s="954" t="s">
        <v>443</v>
      </c>
      <c r="F323" s="985"/>
      <c r="G323" s="973"/>
      <c r="H323" s="973"/>
      <c r="I323" s="973"/>
      <c r="J323" s="973"/>
      <c r="K323" s="383"/>
      <c r="L323" s="955"/>
      <c r="M323" s="955"/>
      <c r="N323" s="983">
        <v>298962.15999999997</v>
      </c>
      <c r="O323" s="981"/>
      <c r="P323" s="772"/>
      <c r="Q323" s="812"/>
      <c r="R323" s="953"/>
    </row>
    <row r="324" spans="1:18" s="440" customFormat="1" ht="43.5" customHeight="1">
      <c r="A324" s="984"/>
      <c r="B324" s="972"/>
      <c r="C324" s="450"/>
      <c r="D324" s="438"/>
      <c r="E324" s="954" t="s">
        <v>469</v>
      </c>
      <c r="F324" s="985"/>
      <c r="G324" s="973"/>
      <c r="H324" s="973"/>
      <c r="I324" s="973"/>
      <c r="J324" s="973"/>
      <c r="K324" s="383"/>
      <c r="L324" s="955"/>
      <c r="M324" s="955"/>
      <c r="N324" s="983">
        <v>2964</v>
      </c>
      <c r="O324" s="981"/>
      <c r="P324" s="772"/>
      <c r="Q324" s="812"/>
      <c r="R324" s="953"/>
    </row>
    <row r="325" spans="1:18" s="440" customFormat="1" ht="43.5" customHeight="1">
      <c r="A325" s="984"/>
      <c r="B325" s="972"/>
      <c r="C325" s="450"/>
      <c r="D325" s="438"/>
      <c r="E325" s="954" t="s">
        <v>532</v>
      </c>
      <c r="F325" s="985"/>
      <c r="G325" s="973"/>
      <c r="H325" s="973"/>
      <c r="I325" s="973"/>
      <c r="J325" s="973"/>
      <c r="K325" s="383"/>
      <c r="L325" s="955"/>
      <c r="M325" s="955"/>
      <c r="N325" s="983">
        <v>22992</v>
      </c>
      <c r="O325" s="981"/>
      <c r="P325" s="772"/>
      <c r="Q325" s="812"/>
      <c r="R325" s="953"/>
    </row>
    <row r="326" spans="1:18" s="440" customFormat="1" ht="43.5" customHeight="1">
      <c r="A326" s="984"/>
      <c r="B326" s="972"/>
      <c r="C326" s="450"/>
      <c r="D326" s="438"/>
      <c r="E326" s="954" t="s">
        <v>446</v>
      </c>
      <c r="F326" s="985"/>
      <c r="G326" s="973"/>
      <c r="H326" s="973"/>
      <c r="I326" s="973"/>
      <c r="J326" s="973"/>
      <c r="K326" s="383"/>
      <c r="L326" s="955"/>
      <c r="M326" s="955"/>
      <c r="N326" s="983">
        <v>392000.22</v>
      </c>
      <c r="O326" s="981"/>
      <c r="P326" s="772"/>
      <c r="Q326" s="812"/>
      <c r="R326" s="953"/>
    </row>
    <row r="327" spans="1:18" s="440" customFormat="1" ht="57" customHeight="1">
      <c r="A327" s="984"/>
      <c r="B327" s="972"/>
      <c r="C327" s="986"/>
      <c r="D327" s="438"/>
      <c r="E327" s="945" t="s">
        <v>418</v>
      </c>
      <c r="F327" s="949">
        <v>117300</v>
      </c>
      <c r="G327" s="949">
        <v>111778</v>
      </c>
      <c r="H327" s="949">
        <v>74715.13</v>
      </c>
      <c r="I327" s="973"/>
      <c r="J327" s="973"/>
      <c r="K327" s="529"/>
      <c r="L327" s="949">
        <v>826000</v>
      </c>
      <c r="M327" s="949">
        <v>826000</v>
      </c>
      <c r="N327" s="977">
        <f>SUM(N328:N348)</f>
        <v>526825.24</v>
      </c>
      <c r="O327" s="978">
        <f>N327/M327</f>
        <v>0.63780295399515741</v>
      </c>
      <c r="P327" s="772" t="s">
        <v>395</v>
      </c>
      <c r="Q327" s="812"/>
      <c r="R327" s="953"/>
    </row>
    <row r="328" spans="1:18" s="440" customFormat="1" ht="55.5" customHeight="1">
      <c r="A328" s="984"/>
      <c r="B328" s="972"/>
      <c r="C328" s="450"/>
      <c r="D328" s="438"/>
      <c r="E328" s="957" t="s">
        <v>447</v>
      </c>
      <c r="F328" s="958"/>
      <c r="G328" s="958"/>
      <c r="H328" s="958">
        <v>0</v>
      </c>
      <c r="I328" s="973"/>
      <c r="J328" s="973"/>
      <c r="K328" s="529"/>
      <c r="L328" s="958"/>
      <c r="M328" s="958"/>
      <c r="N328" s="983">
        <v>581.17999999999995</v>
      </c>
      <c r="O328" s="981"/>
      <c r="P328" s="772"/>
      <c r="Q328" s="812"/>
      <c r="R328" s="953"/>
    </row>
    <row r="329" spans="1:18" s="440" customFormat="1" ht="42.75" customHeight="1">
      <c r="A329" s="984"/>
      <c r="B329" s="972"/>
      <c r="C329" s="450"/>
      <c r="D329" s="438"/>
      <c r="E329" s="957" t="s">
        <v>523</v>
      </c>
      <c r="F329" s="958"/>
      <c r="G329" s="958"/>
      <c r="H329" s="958">
        <v>0</v>
      </c>
      <c r="I329" s="973"/>
      <c r="J329" s="973"/>
      <c r="K329" s="529"/>
      <c r="L329" s="958"/>
      <c r="M329" s="958"/>
      <c r="N329" s="983">
        <v>600</v>
      </c>
      <c r="O329" s="981"/>
      <c r="P329" s="772"/>
      <c r="Q329" s="812"/>
      <c r="R329" s="953"/>
    </row>
    <row r="330" spans="1:18" s="440" customFormat="1" ht="42.75" customHeight="1">
      <c r="A330" s="984"/>
      <c r="B330" s="972"/>
      <c r="C330" s="450"/>
      <c r="D330" s="438"/>
      <c r="E330" s="957" t="s">
        <v>449</v>
      </c>
      <c r="F330" s="958"/>
      <c r="G330" s="958"/>
      <c r="H330" s="958">
        <v>0</v>
      </c>
      <c r="I330" s="973"/>
      <c r="J330" s="973"/>
      <c r="K330" s="529"/>
      <c r="L330" s="958"/>
      <c r="M330" s="958"/>
      <c r="N330" s="983">
        <v>0</v>
      </c>
      <c r="O330" s="981"/>
      <c r="P330" s="772"/>
      <c r="Q330" s="812"/>
      <c r="R330" s="953"/>
    </row>
    <row r="331" spans="1:18" s="440" customFormat="1" ht="42.75" customHeight="1">
      <c r="A331" s="984"/>
      <c r="B331" s="972"/>
      <c r="C331" s="450"/>
      <c r="D331" s="438"/>
      <c r="E331" s="957" t="s">
        <v>450</v>
      </c>
      <c r="F331" s="958"/>
      <c r="G331" s="958"/>
      <c r="H331" s="958">
        <v>0</v>
      </c>
      <c r="I331" s="973"/>
      <c r="J331" s="973"/>
      <c r="K331" s="529"/>
      <c r="L331" s="958"/>
      <c r="M331" s="958"/>
      <c r="N331" s="983">
        <v>0</v>
      </c>
      <c r="O331" s="981"/>
      <c r="P331" s="772"/>
      <c r="Q331" s="812"/>
      <c r="R331" s="953"/>
    </row>
    <row r="332" spans="1:18" s="440" customFormat="1" ht="42.75" customHeight="1">
      <c r="A332" s="984"/>
      <c r="B332" s="972"/>
      <c r="C332" s="450"/>
      <c r="D332" s="438"/>
      <c r="E332" s="957" t="s">
        <v>451</v>
      </c>
      <c r="F332" s="958"/>
      <c r="G332" s="958"/>
      <c r="H332" s="958">
        <v>0</v>
      </c>
      <c r="I332" s="973"/>
      <c r="J332" s="973"/>
      <c r="K332" s="529"/>
      <c r="L332" s="958"/>
      <c r="M332" s="958"/>
      <c r="N332" s="983">
        <v>0</v>
      </c>
      <c r="O332" s="981"/>
      <c r="P332" s="772"/>
      <c r="Q332" s="812"/>
      <c r="R332" s="953"/>
    </row>
    <row r="333" spans="1:18" s="440" customFormat="1" ht="87" customHeight="1">
      <c r="A333" s="984"/>
      <c r="B333" s="972"/>
      <c r="C333" s="450"/>
      <c r="D333" s="438"/>
      <c r="E333" s="960" t="s">
        <v>533</v>
      </c>
      <c r="F333" s="958"/>
      <c r="G333" s="958"/>
      <c r="H333" s="958">
        <v>4300</v>
      </c>
      <c r="I333" s="973"/>
      <c r="J333" s="973"/>
      <c r="K333" s="529"/>
      <c r="L333" s="958"/>
      <c r="M333" s="958"/>
      <c r="N333" s="983">
        <v>3872.93</v>
      </c>
      <c r="O333" s="981"/>
      <c r="P333" s="772"/>
      <c r="Q333" s="812"/>
      <c r="R333" s="953"/>
    </row>
    <row r="334" spans="1:18" s="440" customFormat="1" ht="90" customHeight="1">
      <c r="A334" s="984"/>
      <c r="B334" s="972"/>
      <c r="C334" s="450"/>
      <c r="D334" s="438"/>
      <c r="E334" s="957" t="s">
        <v>452</v>
      </c>
      <c r="F334" s="958"/>
      <c r="G334" s="958"/>
      <c r="H334" s="958">
        <v>0</v>
      </c>
      <c r="I334" s="973"/>
      <c r="J334" s="973"/>
      <c r="K334" s="529"/>
      <c r="L334" s="958"/>
      <c r="M334" s="958"/>
      <c r="N334" s="983">
        <v>1670.04</v>
      </c>
      <c r="O334" s="981"/>
      <c r="P334" s="772"/>
      <c r="Q334" s="812"/>
      <c r="R334" s="953"/>
    </row>
    <row r="335" spans="1:18" s="440" customFormat="1" ht="54" customHeight="1">
      <c r="A335" s="984"/>
      <c r="B335" s="972"/>
      <c r="C335" s="450"/>
      <c r="D335" s="438"/>
      <c r="E335" s="957" t="s">
        <v>453</v>
      </c>
      <c r="F335" s="958"/>
      <c r="G335" s="958"/>
      <c r="H335" s="958">
        <v>0</v>
      </c>
      <c r="I335" s="973"/>
      <c r="J335" s="973"/>
      <c r="K335" s="529"/>
      <c r="L335" s="958"/>
      <c r="M335" s="958"/>
      <c r="N335" s="983">
        <v>0</v>
      </c>
      <c r="O335" s="981"/>
      <c r="P335" s="772"/>
      <c r="Q335" s="812"/>
      <c r="R335" s="953"/>
    </row>
    <row r="336" spans="1:18" s="440" customFormat="1" ht="54" customHeight="1">
      <c r="A336" s="984"/>
      <c r="B336" s="972"/>
      <c r="C336" s="450"/>
      <c r="D336" s="438"/>
      <c r="E336" s="957" t="s">
        <v>454</v>
      </c>
      <c r="F336" s="958"/>
      <c r="G336" s="958"/>
      <c r="H336" s="958">
        <v>0</v>
      </c>
      <c r="I336" s="973"/>
      <c r="J336" s="973"/>
      <c r="K336" s="529"/>
      <c r="L336" s="958"/>
      <c r="M336" s="958"/>
      <c r="N336" s="983">
        <v>8791.66</v>
      </c>
      <c r="O336" s="981"/>
      <c r="P336" s="772"/>
      <c r="Q336" s="812"/>
      <c r="R336" s="953"/>
    </row>
    <row r="337" spans="1:18" s="440" customFormat="1" ht="54" customHeight="1">
      <c r="A337" s="984"/>
      <c r="B337" s="972"/>
      <c r="C337" s="450"/>
      <c r="D337" s="438"/>
      <c r="E337" s="957" t="s">
        <v>455</v>
      </c>
      <c r="F337" s="958"/>
      <c r="G337" s="958"/>
      <c r="H337" s="958">
        <v>0</v>
      </c>
      <c r="I337" s="973"/>
      <c r="J337" s="973"/>
      <c r="K337" s="529"/>
      <c r="L337" s="958"/>
      <c r="M337" s="958"/>
      <c r="N337" s="983">
        <v>0</v>
      </c>
      <c r="O337" s="981"/>
      <c r="P337" s="772"/>
      <c r="Q337" s="812"/>
      <c r="R337" s="953"/>
    </row>
    <row r="338" spans="1:18" s="440" customFormat="1" ht="54" customHeight="1">
      <c r="A338" s="984"/>
      <c r="B338" s="972"/>
      <c r="C338" s="450"/>
      <c r="D338" s="438"/>
      <c r="E338" s="957" t="s">
        <v>456</v>
      </c>
      <c r="F338" s="958"/>
      <c r="G338" s="958"/>
      <c r="H338" s="958">
        <v>0</v>
      </c>
      <c r="I338" s="973"/>
      <c r="J338" s="973"/>
      <c r="K338" s="529"/>
      <c r="L338" s="958"/>
      <c r="M338" s="958"/>
      <c r="N338" s="983">
        <v>2935.55</v>
      </c>
      <c r="O338" s="981"/>
      <c r="P338" s="772"/>
      <c r="Q338" s="812"/>
      <c r="R338" s="953"/>
    </row>
    <row r="339" spans="1:18" s="440" customFormat="1" ht="54" customHeight="1">
      <c r="A339" s="984"/>
      <c r="B339" s="972"/>
      <c r="C339" s="450"/>
      <c r="D339" s="438"/>
      <c r="E339" s="957" t="s">
        <v>457</v>
      </c>
      <c r="F339" s="958"/>
      <c r="G339" s="958"/>
      <c r="H339" s="958">
        <v>0</v>
      </c>
      <c r="I339" s="973"/>
      <c r="J339" s="973"/>
      <c r="K339" s="529"/>
      <c r="L339" s="958"/>
      <c r="M339" s="958"/>
      <c r="N339" s="983">
        <v>499.9</v>
      </c>
      <c r="O339" s="981"/>
      <c r="P339" s="772"/>
      <c r="Q339" s="812"/>
      <c r="R339" s="953"/>
    </row>
    <row r="340" spans="1:18" s="440" customFormat="1" ht="54" customHeight="1">
      <c r="A340" s="984"/>
      <c r="B340" s="972"/>
      <c r="C340" s="450"/>
      <c r="D340" s="438"/>
      <c r="E340" s="957" t="s">
        <v>458</v>
      </c>
      <c r="F340" s="961"/>
      <c r="G340" s="961"/>
      <c r="H340" s="958">
        <v>32231.32</v>
      </c>
      <c r="I340" s="973"/>
      <c r="J340" s="973"/>
      <c r="K340" s="529"/>
      <c r="L340" s="961"/>
      <c r="M340" s="961"/>
      <c r="N340" s="983">
        <v>321025.59000000003</v>
      </c>
      <c r="O340" s="981"/>
      <c r="P340" s="772"/>
      <c r="Q340" s="812"/>
      <c r="R340" s="953"/>
    </row>
    <row r="341" spans="1:18" s="440" customFormat="1" ht="54" customHeight="1">
      <c r="A341" s="984"/>
      <c r="B341" s="972"/>
      <c r="C341" s="450"/>
      <c r="D341" s="438"/>
      <c r="E341" s="957" t="s">
        <v>459</v>
      </c>
      <c r="F341" s="961"/>
      <c r="G341" s="961"/>
      <c r="H341" s="958">
        <v>0</v>
      </c>
      <c r="I341" s="973"/>
      <c r="J341" s="973"/>
      <c r="K341" s="529"/>
      <c r="L341" s="961"/>
      <c r="M341" s="961"/>
      <c r="N341" s="983">
        <v>14190.37</v>
      </c>
      <c r="O341" s="981"/>
      <c r="P341" s="772"/>
      <c r="Q341" s="812"/>
      <c r="R341" s="953"/>
    </row>
    <row r="342" spans="1:18" s="440" customFormat="1" ht="54" customHeight="1">
      <c r="A342" s="984"/>
      <c r="B342" s="972"/>
      <c r="C342" s="450"/>
      <c r="D342" s="438"/>
      <c r="E342" s="957" t="s">
        <v>460</v>
      </c>
      <c r="F342" s="961"/>
      <c r="G342" s="961"/>
      <c r="H342" s="958">
        <v>692</v>
      </c>
      <c r="I342" s="973"/>
      <c r="J342" s="973"/>
      <c r="K342" s="529"/>
      <c r="L342" s="961"/>
      <c r="M342" s="961"/>
      <c r="N342" s="983">
        <v>3052.01</v>
      </c>
      <c r="O342" s="981"/>
      <c r="P342" s="772"/>
      <c r="Q342" s="812"/>
      <c r="R342" s="953"/>
    </row>
    <row r="343" spans="1:18" s="440" customFormat="1" ht="54" customHeight="1">
      <c r="A343" s="984"/>
      <c r="B343" s="972"/>
      <c r="C343" s="450"/>
      <c r="D343" s="438"/>
      <c r="E343" s="957" t="s">
        <v>461</v>
      </c>
      <c r="F343" s="961"/>
      <c r="G343" s="961"/>
      <c r="H343" s="958">
        <v>35817</v>
      </c>
      <c r="I343" s="973"/>
      <c r="J343" s="973"/>
      <c r="K343" s="529"/>
      <c r="L343" s="961"/>
      <c r="M343" s="961"/>
      <c r="N343" s="983">
        <v>142471</v>
      </c>
      <c r="O343" s="981"/>
      <c r="P343" s="772"/>
      <c r="Q343" s="812"/>
      <c r="R343" s="953"/>
    </row>
    <row r="344" spans="1:18" s="440" customFormat="1" ht="54" customHeight="1">
      <c r="A344" s="984"/>
      <c r="B344" s="972"/>
      <c r="C344" s="450"/>
      <c r="D344" s="438"/>
      <c r="E344" s="957" t="s">
        <v>462</v>
      </c>
      <c r="F344" s="961"/>
      <c r="G344" s="961"/>
      <c r="H344" s="958">
        <v>0</v>
      </c>
      <c r="I344" s="973"/>
      <c r="J344" s="973"/>
      <c r="K344" s="529"/>
      <c r="L344" s="961"/>
      <c r="M344" s="961"/>
      <c r="N344" s="983">
        <v>0</v>
      </c>
      <c r="O344" s="981"/>
      <c r="P344" s="772"/>
      <c r="Q344" s="812"/>
      <c r="R344" s="953"/>
    </row>
    <row r="345" spans="1:18" s="440" customFormat="1" ht="63" customHeight="1">
      <c r="A345" s="984"/>
      <c r="B345" s="972"/>
      <c r="C345" s="450"/>
      <c r="D345" s="438"/>
      <c r="E345" s="957" t="s">
        <v>463</v>
      </c>
      <c r="F345" s="961"/>
      <c r="G345" s="961"/>
      <c r="H345" s="958">
        <v>0</v>
      </c>
      <c r="I345" s="973"/>
      <c r="J345" s="973"/>
      <c r="K345" s="529"/>
      <c r="L345" s="961"/>
      <c r="M345" s="961"/>
      <c r="N345" s="983">
        <v>1391.5</v>
      </c>
      <c r="O345" s="981"/>
      <c r="P345" s="772"/>
      <c r="Q345" s="812"/>
      <c r="R345" s="953"/>
    </row>
    <row r="346" spans="1:18" s="440" customFormat="1" ht="54" customHeight="1">
      <c r="A346" s="984"/>
      <c r="B346" s="972"/>
      <c r="C346" s="450"/>
      <c r="D346" s="438"/>
      <c r="E346" s="957" t="s">
        <v>464</v>
      </c>
      <c r="F346" s="961"/>
      <c r="G346" s="961"/>
      <c r="H346" s="958">
        <v>0</v>
      </c>
      <c r="I346" s="973"/>
      <c r="J346" s="973"/>
      <c r="K346" s="529"/>
      <c r="L346" s="961"/>
      <c r="M346" s="961"/>
      <c r="N346" s="983">
        <v>0</v>
      </c>
      <c r="O346" s="981"/>
      <c r="P346" s="772"/>
      <c r="Q346" s="812"/>
      <c r="R346" s="953"/>
    </row>
    <row r="347" spans="1:18" s="440" customFormat="1" ht="54" customHeight="1">
      <c r="A347" s="984"/>
      <c r="B347" s="972"/>
      <c r="C347" s="450"/>
      <c r="D347" s="438"/>
      <c r="E347" s="957" t="s">
        <v>465</v>
      </c>
      <c r="F347" s="961"/>
      <c r="G347" s="961"/>
      <c r="H347" s="958">
        <v>0</v>
      </c>
      <c r="I347" s="973"/>
      <c r="J347" s="973"/>
      <c r="K347" s="529"/>
      <c r="L347" s="961"/>
      <c r="M347" s="961"/>
      <c r="N347" s="983">
        <v>2210</v>
      </c>
      <c r="O347" s="981"/>
      <c r="P347" s="772"/>
      <c r="Q347" s="812"/>
      <c r="R347" s="953"/>
    </row>
    <row r="348" spans="1:18" s="440" customFormat="1" ht="54" customHeight="1">
      <c r="A348" s="984"/>
      <c r="B348" s="972"/>
      <c r="C348" s="450"/>
      <c r="D348" s="438"/>
      <c r="E348" s="957" t="s">
        <v>466</v>
      </c>
      <c r="F348" s="961"/>
      <c r="G348" s="961"/>
      <c r="H348" s="958">
        <v>1674.81</v>
      </c>
      <c r="I348" s="973"/>
      <c r="J348" s="973"/>
      <c r="K348" s="529"/>
      <c r="L348" s="961"/>
      <c r="M348" s="961"/>
      <c r="N348" s="983">
        <v>23533.51</v>
      </c>
      <c r="O348" s="981"/>
      <c r="P348" s="772"/>
      <c r="Q348" s="812"/>
      <c r="R348" s="953"/>
    </row>
    <row r="349" spans="1:18" s="440" customFormat="1" ht="57" customHeight="1">
      <c r="A349" s="984"/>
      <c r="B349" s="972"/>
      <c r="C349" s="986"/>
      <c r="D349" s="438"/>
      <c r="E349" s="945" t="s">
        <v>467</v>
      </c>
      <c r="F349" s="949">
        <v>117300</v>
      </c>
      <c r="G349" s="949">
        <v>111778</v>
      </c>
      <c r="H349" s="949">
        <v>74715.13</v>
      </c>
      <c r="I349" s="973"/>
      <c r="J349" s="973"/>
      <c r="K349" s="529"/>
      <c r="L349" s="949">
        <f>L350</f>
        <v>0</v>
      </c>
      <c r="M349" s="949">
        <f t="shared" ref="M349:N349" si="61">M350</f>
        <v>50000</v>
      </c>
      <c r="N349" s="949">
        <f t="shared" si="61"/>
        <v>0</v>
      </c>
      <c r="O349" s="978">
        <f>N349/M349</f>
        <v>0</v>
      </c>
      <c r="P349" s="772" t="s">
        <v>395</v>
      </c>
      <c r="Q349" s="812"/>
      <c r="R349" s="953"/>
    </row>
    <row r="350" spans="1:18" s="431" customFormat="1" ht="100.5" customHeight="1">
      <c r="A350" s="987"/>
      <c r="B350" s="944"/>
      <c r="C350" s="998"/>
      <c r="D350" s="999" t="s">
        <v>21</v>
      </c>
      <c r="E350" s="971" t="s">
        <v>760</v>
      </c>
      <c r="F350" s="1000"/>
      <c r="G350" s="1001"/>
      <c r="H350" s="1001"/>
      <c r="I350" s="1001"/>
      <c r="J350" s="1002"/>
      <c r="K350" s="737"/>
      <c r="L350" s="1003"/>
      <c r="M350" s="1003">
        <v>50000</v>
      </c>
      <c r="N350" s="1003">
        <v>0</v>
      </c>
      <c r="O350" s="1004"/>
      <c r="P350" s="991"/>
      <c r="Q350" s="908"/>
      <c r="R350" s="951"/>
    </row>
    <row r="351" spans="1:18" s="435" customFormat="1" ht="61.5" customHeight="1">
      <c r="A351" s="433"/>
      <c r="B351" s="420"/>
      <c r="C351" s="453">
        <v>2</v>
      </c>
      <c r="D351" s="454"/>
      <c r="E351" s="461" t="s">
        <v>283</v>
      </c>
      <c r="F351" s="254"/>
      <c r="G351" s="455"/>
      <c r="H351" s="455"/>
      <c r="I351" s="455"/>
      <c r="J351" s="455"/>
      <c r="K351" s="452">
        <v>3952000</v>
      </c>
      <c r="L351" s="452">
        <f>L352+L371+L393</f>
        <v>3952000</v>
      </c>
      <c r="M351" s="452">
        <f t="shared" ref="M351:N351" si="62">M352+M371+M393</f>
        <v>4082584</v>
      </c>
      <c r="N351" s="452">
        <f t="shared" si="62"/>
        <v>2622046.1000000006</v>
      </c>
      <c r="O351" s="873">
        <f>N351/M351</f>
        <v>0.6422515984974223</v>
      </c>
      <c r="P351" s="784" t="s">
        <v>395</v>
      </c>
      <c r="Q351" s="668"/>
    </row>
    <row r="352" spans="1:18" s="431" customFormat="1" ht="39.9" customHeight="1">
      <c r="A352" s="735"/>
      <c r="B352" s="944"/>
      <c r="C352" s="458"/>
      <c r="D352" s="444"/>
      <c r="E352" s="1017" t="s">
        <v>412</v>
      </c>
      <c r="F352" s="965"/>
      <c r="G352" s="946"/>
      <c r="H352" s="946"/>
      <c r="I352" s="946"/>
      <c r="J352" s="947"/>
      <c r="K352" s="948"/>
      <c r="L352" s="949">
        <v>3515000</v>
      </c>
      <c r="M352" s="949">
        <v>3588604</v>
      </c>
      <c r="N352" s="950">
        <f>SUM(N354:N370)</f>
        <v>2279779.6500000004</v>
      </c>
      <c r="O352" s="978">
        <f>N352/M352</f>
        <v>0.63528314910199069</v>
      </c>
      <c r="P352" s="780" t="s">
        <v>395</v>
      </c>
      <c r="Q352" s="908"/>
      <c r="R352" s="951"/>
    </row>
    <row r="353" spans="1:18" s="440" customFormat="1" ht="34.5" customHeight="1">
      <c r="A353" s="984"/>
      <c r="B353" s="972"/>
      <c r="C353" s="450"/>
      <c r="D353" s="438"/>
      <c r="E353" s="952" t="s">
        <v>13</v>
      </c>
      <c r="F353" s="985"/>
      <c r="G353" s="973"/>
      <c r="H353" s="973"/>
      <c r="I353" s="973"/>
      <c r="J353" s="973"/>
      <c r="K353" s="383"/>
      <c r="L353" s="980"/>
      <c r="M353" s="980"/>
      <c r="N353" s="980"/>
      <c r="O353" s="981"/>
      <c r="P353" s="772"/>
      <c r="Q353" s="812"/>
      <c r="R353" s="953"/>
    </row>
    <row r="354" spans="1:18" s="440" customFormat="1" ht="41.25" customHeight="1">
      <c r="A354" s="984"/>
      <c r="B354" s="972"/>
      <c r="C354" s="450"/>
      <c r="D354" s="425"/>
      <c r="E354" s="954" t="s">
        <v>570</v>
      </c>
      <c r="F354" s="985"/>
      <c r="G354" s="973"/>
      <c r="H354" s="973"/>
      <c r="I354" s="973"/>
      <c r="J354" s="973"/>
      <c r="K354" s="383"/>
      <c r="L354" s="955"/>
      <c r="M354" s="955"/>
      <c r="N354" s="983">
        <v>1185935.92</v>
      </c>
      <c r="O354" s="981"/>
      <c r="P354" s="772"/>
      <c r="Q354" s="812"/>
      <c r="R354" s="953"/>
    </row>
    <row r="355" spans="1:18" s="440" customFormat="1" ht="57" customHeight="1">
      <c r="A355" s="984"/>
      <c r="B355" s="972"/>
      <c r="C355" s="450"/>
      <c r="D355" s="438"/>
      <c r="E355" s="954" t="s">
        <v>536</v>
      </c>
      <c r="F355" s="985"/>
      <c r="G355" s="973"/>
      <c r="H355" s="973"/>
      <c r="I355" s="973"/>
      <c r="J355" s="973"/>
      <c r="K355" s="383"/>
      <c r="L355" s="955"/>
      <c r="M355" s="955"/>
      <c r="N355" s="983">
        <v>19902</v>
      </c>
      <c r="O355" s="981"/>
      <c r="P355" s="772"/>
      <c r="Q355" s="812"/>
      <c r="R355" s="953"/>
    </row>
    <row r="356" spans="1:18" s="440" customFormat="1" ht="57" customHeight="1">
      <c r="A356" s="984"/>
      <c r="B356" s="972"/>
      <c r="C356" s="450"/>
      <c r="D356" s="438"/>
      <c r="E356" s="954" t="s">
        <v>571</v>
      </c>
      <c r="F356" s="985"/>
      <c r="G356" s="973"/>
      <c r="H356" s="973"/>
      <c r="I356" s="973"/>
      <c r="J356" s="973"/>
      <c r="K356" s="383"/>
      <c r="L356" s="955"/>
      <c r="M356" s="955"/>
      <c r="N356" s="983">
        <v>119093.18</v>
      </c>
      <c r="O356" s="981"/>
      <c r="P356" s="772"/>
      <c r="Q356" s="812"/>
      <c r="R356" s="953"/>
    </row>
    <row r="357" spans="1:18" s="440" customFormat="1" ht="57" customHeight="1">
      <c r="A357" s="984"/>
      <c r="B357" s="972"/>
      <c r="C357" s="450"/>
      <c r="D357" s="438"/>
      <c r="E357" s="954" t="s">
        <v>572</v>
      </c>
      <c r="F357" s="985"/>
      <c r="G357" s="973"/>
      <c r="H357" s="973"/>
      <c r="I357" s="973"/>
      <c r="J357" s="973"/>
      <c r="K357" s="383"/>
      <c r="L357" s="955"/>
      <c r="M357" s="955"/>
      <c r="N357" s="983">
        <v>62896.83</v>
      </c>
      <c r="O357" s="981"/>
      <c r="P357" s="772"/>
      <c r="Q357" s="812"/>
      <c r="R357" s="953"/>
    </row>
    <row r="358" spans="1:18" s="440" customFormat="1" ht="46.5" customHeight="1">
      <c r="A358" s="984"/>
      <c r="B358" s="972"/>
      <c r="C358" s="450"/>
      <c r="D358" s="438"/>
      <c r="E358" s="954" t="s">
        <v>534</v>
      </c>
      <c r="F358" s="985"/>
      <c r="G358" s="973"/>
      <c r="H358" s="973"/>
      <c r="I358" s="973"/>
      <c r="J358" s="973"/>
      <c r="K358" s="383"/>
      <c r="L358" s="955"/>
      <c r="M358" s="955"/>
      <c r="N358" s="983">
        <v>0</v>
      </c>
      <c r="O358" s="981"/>
      <c r="P358" s="772"/>
      <c r="Q358" s="812"/>
      <c r="R358" s="953"/>
    </row>
    <row r="359" spans="1:18" s="440" customFormat="1" ht="46.5" customHeight="1">
      <c r="A359" s="984"/>
      <c r="B359" s="972"/>
      <c r="C359" s="450"/>
      <c r="D359" s="438"/>
      <c r="E359" s="954" t="s">
        <v>437</v>
      </c>
      <c r="F359" s="985"/>
      <c r="G359" s="973"/>
      <c r="H359" s="973"/>
      <c r="I359" s="973"/>
      <c r="J359" s="973"/>
      <c r="K359" s="383"/>
      <c r="L359" s="955"/>
      <c r="M359" s="955"/>
      <c r="N359" s="983">
        <v>0</v>
      </c>
      <c r="O359" s="981"/>
      <c r="P359" s="772"/>
      <c r="Q359" s="812"/>
      <c r="R359" s="953"/>
    </row>
    <row r="360" spans="1:18" s="440" customFormat="1" ht="46.5" customHeight="1">
      <c r="A360" s="984"/>
      <c r="B360" s="972"/>
      <c r="C360" s="450"/>
      <c r="D360" s="438"/>
      <c r="E360" s="954" t="s">
        <v>438</v>
      </c>
      <c r="F360" s="985"/>
      <c r="G360" s="973"/>
      <c r="H360" s="973"/>
      <c r="I360" s="973"/>
      <c r="J360" s="973"/>
      <c r="K360" s="383"/>
      <c r="L360" s="955"/>
      <c r="M360" s="955"/>
      <c r="N360" s="983">
        <v>0</v>
      </c>
      <c r="O360" s="981"/>
      <c r="P360" s="772"/>
      <c r="Q360" s="812"/>
      <c r="R360" s="953"/>
    </row>
    <row r="361" spans="1:18" s="440" customFormat="1" ht="46.5" customHeight="1">
      <c r="A361" s="984"/>
      <c r="B361" s="972"/>
      <c r="C361" s="450"/>
      <c r="D361" s="438"/>
      <c r="E361" s="954" t="s">
        <v>539</v>
      </c>
      <c r="F361" s="985"/>
      <c r="G361" s="973"/>
      <c r="H361" s="973"/>
      <c r="I361" s="973"/>
      <c r="J361" s="973"/>
      <c r="K361" s="383"/>
      <c r="L361" s="955"/>
      <c r="M361" s="955"/>
      <c r="N361" s="983">
        <v>784.95</v>
      </c>
      <c r="O361" s="981"/>
      <c r="P361" s="772"/>
      <c r="Q361" s="812"/>
      <c r="R361" s="953"/>
    </row>
    <row r="362" spans="1:18" s="440" customFormat="1" ht="46.5" customHeight="1">
      <c r="A362" s="984"/>
      <c r="B362" s="972"/>
      <c r="C362" s="450"/>
      <c r="D362" s="438"/>
      <c r="E362" s="954" t="s">
        <v>439</v>
      </c>
      <c r="F362" s="985"/>
      <c r="G362" s="973"/>
      <c r="H362" s="973"/>
      <c r="I362" s="973"/>
      <c r="J362" s="973"/>
      <c r="K362" s="383"/>
      <c r="L362" s="955"/>
      <c r="M362" s="955"/>
      <c r="N362" s="983">
        <v>0</v>
      </c>
      <c r="O362" s="981"/>
      <c r="P362" s="772"/>
      <c r="Q362" s="812"/>
      <c r="R362" s="953"/>
    </row>
    <row r="363" spans="1:18" s="440" customFormat="1" ht="46.5" customHeight="1">
      <c r="A363" s="984"/>
      <c r="B363" s="972"/>
      <c r="C363" s="450"/>
      <c r="D363" s="438"/>
      <c r="E363" s="954" t="s">
        <v>440</v>
      </c>
      <c r="F363" s="985"/>
      <c r="G363" s="973"/>
      <c r="H363" s="973"/>
      <c r="I363" s="973"/>
      <c r="J363" s="973"/>
      <c r="K363" s="383"/>
      <c r="L363" s="955"/>
      <c r="M363" s="955"/>
      <c r="N363" s="983">
        <v>0</v>
      </c>
      <c r="O363" s="981"/>
      <c r="P363" s="772"/>
      <c r="Q363" s="812"/>
      <c r="R363" s="953"/>
    </row>
    <row r="364" spans="1:18" s="440" customFormat="1" ht="46.5" customHeight="1">
      <c r="A364" s="984"/>
      <c r="B364" s="972"/>
      <c r="C364" s="450"/>
      <c r="D364" s="438"/>
      <c r="E364" s="954" t="s">
        <v>441</v>
      </c>
      <c r="F364" s="985"/>
      <c r="G364" s="973"/>
      <c r="H364" s="973"/>
      <c r="I364" s="973"/>
      <c r="J364" s="973"/>
      <c r="K364" s="383"/>
      <c r="L364" s="955"/>
      <c r="M364" s="955"/>
      <c r="N364" s="983">
        <v>0</v>
      </c>
      <c r="O364" s="981"/>
      <c r="P364" s="772"/>
      <c r="Q364" s="812"/>
      <c r="R364" s="953"/>
    </row>
    <row r="365" spans="1:18" s="440" customFormat="1" ht="57" customHeight="1">
      <c r="A365" s="984"/>
      <c r="B365" s="972"/>
      <c r="C365" s="450"/>
      <c r="D365" s="438"/>
      <c r="E365" s="954" t="s">
        <v>573</v>
      </c>
      <c r="F365" s="985"/>
      <c r="G365" s="973"/>
      <c r="H365" s="973"/>
      <c r="I365" s="973"/>
      <c r="J365" s="973"/>
      <c r="K365" s="383"/>
      <c r="L365" s="955"/>
      <c r="M365" s="955"/>
      <c r="N365" s="983">
        <v>274389.3</v>
      </c>
      <c r="O365" s="981"/>
      <c r="P365" s="772"/>
      <c r="Q365" s="812"/>
      <c r="R365" s="953"/>
    </row>
    <row r="366" spans="1:18" s="440" customFormat="1" ht="41.25" customHeight="1">
      <c r="A366" s="984"/>
      <c r="B366" s="972"/>
      <c r="C366" s="450"/>
      <c r="D366" s="438"/>
      <c r="E366" s="954" t="s">
        <v>442</v>
      </c>
      <c r="F366" s="985"/>
      <c r="G366" s="973"/>
      <c r="H366" s="973"/>
      <c r="I366" s="973"/>
      <c r="J366" s="973"/>
      <c r="K366" s="383"/>
      <c r="L366" s="955"/>
      <c r="M366" s="955"/>
      <c r="N366" s="983">
        <v>0</v>
      </c>
      <c r="O366" s="981"/>
      <c r="P366" s="772"/>
      <c r="Q366" s="812"/>
      <c r="R366" s="953"/>
    </row>
    <row r="367" spans="1:18" s="440" customFormat="1" ht="41.25" customHeight="1">
      <c r="A367" s="984"/>
      <c r="B367" s="972"/>
      <c r="C367" s="450"/>
      <c r="D367" s="438"/>
      <c r="E367" s="954" t="s">
        <v>443</v>
      </c>
      <c r="F367" s="985"/>
      <c r="G367" s="973"/>
      <c r="H367" s="973"/>
      <c r="I367" s="973"/>
      <c r="J367" s="973"/>
      <c r="K367" s="383"/>
      <c r="L367" s="955"/>
      <c r="M367" s="955"/>
      <c r="N367" s="983">
        <v>249456.57</v>
      </c>
      <c r="O367" s="981"/>
      <c r="P367" s="772"/>
      <c r="Q367" s="812"/>
      <c r="R367" s="953"/>
    </row>
    <row r="368" spans="1:18" s="440" customFormat="1" ht="41.25" customHeight="1">
      <c r="A368" s="984"/>
      <c r="B368" s="972"/>
      <c r="C368" s="450"/>
      <c r="D368" s="438"/>
      <c r="E368" s="954" t="s">
        <v>485</v>
      </c>
      <c r="F368" s="985"/>
      <c r="G368" s="973"/>
      <c r="H368" s="973"/>
      <c r="I368" s="973"/>
      <c r="J368" s="973"/>
      <c r="K368" s="383"/>
      <c r="L368" s="955"/>
      <c r="M368" s="955"/>
      <c r="N368" s="983">
        <v>0</v>
      </c>
      <c r="O368" s="981"/>
      <c r="P368" s="772"/>
      <c r="Q368" s="812"/>
      <c r="R368" s="953"/>
    </row>
    <row r="369" spans="1:18" s="440" customFormat="1" ht="41.25" customHeight="1">
      <c r="A369" s="984"/>
      <c r="B369" s="972"/>
      <c r="C369" s="450"/>
      <c r="D369" s="438"/>
      <c r="E369" s="954" t="s">
        <v>574</v>
      </c>
      <c r="F369" s="985"/>
      <c r="G369" s="973"/>
      <c r="H369" s="973"/>
      <c r="I369" s="973"/>
      <c r="J369" s="973"/>
      <c r="K369" s="383"/>
      <c r="L369" s="955"/>
      <c r="M369" s="955"/>
      <c r="N369" s="983">
        <v>6187.87</v>
      </c>
      <c r="O369" s="981"/>
      <c r="P369" s="772"/>
      <c r="Q369" s="812"/>
      <c r="R369" s="953"/>
    </row>
    <row r="370" spans="1:18" s="440" customFormat="1" ht="41.25" customHeight="1">
      <c r="A370" s="984"/>
      <c r="B370" s="972"/>
      <c r="C370" s="450"/>
      <c r="D370" s="438"/>
      <c r="E370" s="954" t="s">
        <v>446</v>
      </c>
      <c r="F370" s="985"/>
      <c r="G370" s="973"/>
      <c r="H370" s="973"/>
      <c r="I370" s="973"/>
      <c r="J370" s="973"/>
      <c r="K370" s="383"/>
      <c r="L370" s="955"/>
      <c r="M370" s="955"/>
      <c r="N370" s="983">
        <v>361133.03</v>
      </c>
      <c r="O370" s="981"/>
      <c r="P370" s="772"/>
      <c r="Q370" s="812"/>
      <c r="R370" s="953"/>
    </row>
    <row r="371" spans="1:18" s="440" customFormat="1" ht="57" customHeight="1">
      <c r="A371" s="984"/>
      <c r="B371" s="972"/>
      <c r="C371" s="986"/>
      <c r="D371" s="438"/>
      <c r="E371" s="945" t="s">
        <v>418</v>
      </c>
      <c r="F371" s="949">
        <v>117300</v>
      </c>
      <c r="G371" s="949">
        <v>111778</v>
      </c>
      <c r="H371" s="949">
        <v>74715.13</v>
      </c>
      <c r="I371" s="973"/>
      <c r="J371" s="973"/>
      <c r="K371" s="529"/>
      <c r="L371" s="949">
        <v>437000</v>
      </c>
      <c r="M371" s="949">
        <v>422980</v>
      </c>
      <c r="N371" s="977">
        <f>SUM(N372:N392)</f>
        <v>342266.44999999995</v>
      </c>
      <c r="O371" s="978">
        <f>N371/M371</f>
        <v>0.80917880278027321</v>
      </c>
      <c r="P371" s="772" t="s">
        <v>395</v>
      </c>
      <c r="Q371" s="812"/>
      <c r="R371" s="953"/>
    </row>
    <row r="372" spans="1:18" s="440" customFormat="1" ht="69" customHeight="1">
      <c r="A372" s="984"/>
      <c r="B372" s="972"/>
      <c r="C372" s="450"/>
      <c r="D372" s="438"/>
      <c r="E372" s="957" t="s">
        <v>447</v>
      </c>
      <c r="F372" s="958"/>
      <c r="G372" s="958"/>
      <c r="H372" s="958">
        <v>0</v>
      </c>
      <c r="I372" s="973"/>
      <c r="J372" s="973"/>
      <c r="K372" s="529"/>
      <c r="L372" s="958"/>
      <c r="M372" s="958"/>
      <c r="N372" s="983">
        <v>8680.18</v>
      </c>
      <c r="O372" s="981"/>
      <c r="P372" s="772"/>
      <c r="Q372" s="812"/>
      <c r="R372" s="953"/>
    </row>
    <row r="373" spans="1:18" s="440" customFormat="1" ht="39" customHeight="1">
      <c r="A373" s="984"/>
      <c r="B373" s="972"/>
      <c r="C373" s="450"/>
      <c r="D373" s="438"/>
      <c r="E373" s="957" t="s">
        <v>567</v>
      </c>
      <c r="F373" s="958"/>
      <c r="G373" s="958"/>
      <c r="H373" s="958">
        <v>0</v>
      </c>
      <c r="I373" s="973"/>
      <c r="J373" s="973"/>
      <c r="K373" s="529"/>
      <c r="L373" s="958"/>
      <c r="M373" s="958"/>
      <c r="N373" s="983">
        <v>300</v>
      </c>
      <c r="O373" s="981"/>
      <c r="P373" s="772"/>
      <c r="Q373" s="812"/>
      <c r="R373" s="953"/>
    </row>
    <row r="374" spans="1:18" s="440" customFormat="1" ht="39" customHeight="1">
      <c r="A374" s="984"/>
      <c r="B374" s="972"/>
      <c r="C374" s="450"/>
      <c r="D374" s="438"/>
      <c r="E374" s="957" t="s">
        <v>449</v>
      </c>
      <c r="F374" s="958"/>
      <c r="G374" s="958"/>
      <c r="H374" s="958">
        <v>0</v>
      </c>
      <c r="I374" s="973"/>
      <c r="J374" s="973"/>
      <c r="K374" s="529"/>
      <c r="L374" s="958"/>
      <c r="M374" s="958"/>
      <c r="N374" s="983">
        <v>0</v>
      </c>
      <c r="O374" s="981"/>
      <c r="P374" s="772"/>
      <c r="Q374" s="812"/>
      <c r="R374" s="953"/>
    </row>
    <row r="375" spans="1:18" s="440" customFormat="1" ht="39" customHeight="1">
      <c r="A375" s="984"/>
      <c r="B375" s="972"/>
      <c r="C375" s="450"/>
      <c r="D375" s="438"/>
      <c r="E375" s="957" t="s">
        <v>450</v>
      </c>
      <c r="F375" s="958"/>
      <c r="G375" s="958"/>
      <c r="H375" s="958">
        <v>0</v>
      </c>
      <c r="I375" s="973"/>
      <c r="J375" s="973"/>
      <c r="K375" s="529"/>
      <c r="L375" s="958"/>
      <c r="M375" s="958"/>
      <c r="N375" s="983">
        <v>0</v>
      </c>
      <c r="O375" s="981"/>
      <c r="P375" s="772"/>
      <c r="Q375" s="812"/>
      <c r="R375" s="953"/>
    </row>
    <row r="376" spans="1:18" s="440" customFormat="1" ht="39" customHeight="1">
      <c r="A376" s="984"/>
      <c r="B376" s="972"/>
      <c r="C376" s="450"/>
      <c r="D376" s="438"/>
      <c r="E376" s="957" t="s">
        <v>451</v>
      </c>
      <c r="F376" s="958"/>
      <c r="G376" s="958"/>
      <c r="H376" s="958">
        <v>0</v>
      </c>
      <c r="I376" s="973"/>
      <c r="J376" s="973"/>
      <c r="K376" s="529"/>
      <c r="L376" s="958"/>
      <c r="M376" s="958"/>
      <c r="N376" s="983">
        <v>0</v>
      </c>
      <c r="O376" s="981"/>
      <c r="P376" s="772"/>
      <c r="Q376" s="812"/>
      <c r="R376" s="953"/>
    </row>
    <row r="377" spans="1:18" s="440" customFormat="1" ht="63.6" customHeight="1">
      <c r="A377" s="984"/>
      <c r="B377" s="972"/>
      <c r="C377" s="450"/>
      <c r="D377" s="438"/>
      <c r="E377" s="960" t="s">
        <v>575</v>
      </c>
      <c r="F377" s="958"/>
      <c r="G377" s="958"/>
      <c r="H377" s="958">
        <v>4300</v>
      </c>
      <c r="I377" s="973"/>
      <c r="J377" s="973"/>
      <c r="K377" s="529"/>
      <c r="L377" s="958"/>
      <c r="M377" s="958"/>
      <c r="N377" s="983">
        <v>6005.06</v>
      </c>
      <c r="O377" s="981"/>
      <c r="P377" s="772"/>
      <c r="Q377" s="812"/>
      <c r="R377" s="953"/>
    </row>
    <row r="378" spans="1:18" s="440" customFormat="1" ht="84" customHeight="1">
      <c r="A378" s="984"/>
      <c r="B378" s="972"/>
      <c r="C378" s="450"/>
      <c r="D378" s="438"/>
      <c r="E378" s="957" t="s">
        <v>568</v>
      </c>
      <c r="F378" s="958"/>
      <c r="G378" s="958"/>
      <c r="H378" s="958">
        <v>0</v>
      </c>
      <c r="I378" s="973"/>
      <c r="J378" s="973"/>
      <c r="K378" s="529"/>
      <c r="L378" s="958"/>
      <c r="M378" s="958"/>
      <c r="N378" s="983">
        <v>4389.3</v>
      </c>
      <c r="O378" s="981"/>
      <c r="P378" s="772"/>
      <c r="Q378" s="812"/>
      <c r="R378" s="953"/>
    </row>
    <row r="379" spans="1:18" s="440" customFormat="1" ht="54.75" customHeight="1">
      <c r="A379" s="984"/>
      <c r="B379" s="972"/>
      <c r="C379" s="450"/>
      <c r="D379" s="438"/>
      <c r="E379" s="957" t="s">
        <v>453</v>
      </c>
      <c r="F379" s="958"/>
      <c r="G379" s="958"/>
      <c r="H379" s="958">
        <v>0</v>
      </c>
      <c r="I379" s="973"/>
      <c r="J379" s="973"/>
      <c r="K379" s="529"/>
      <c r="L379" s="958"/>
      <c r="M379" s="958"/>
      <c r="N379" s="983">
        <v>0</v>
      </c>
      <c r="O379" s="981"/>
      <c r="P379" s="772"/>
      <c r="Q379" s="812"/>
      <c r="R379" s="953"/>
    </row>
    <row r="380" spans="1:18" s="440" customFormat="1" ht="40.5" customHeight="1">
      <c r="A380" s="984"/>
      <c r="B380" s="972"/>
      <c r="C380" s="450"/>
      <c r="D380" s="438"/>
      <c r="E380" s="957" t="s">
        <v>454</v>
      </c>
      <c r="F380" s="958"/>
      <c r="G380" s="958"/>
      <c r="H380" s="958">
        <v>0</v>
      </c>
      <c r="I380" s="973"/>
      <c r="J380" s="973"/>
      <c r="K380" s="529"/>
      <c r="L380" s="958"/>
      <c r="M380" s="958"/>
      <c r="N380" s="983">
        <v>6407.97</v>
      </c>
      <c r="O380" s="981"/>
      <c r="P380" s="772"/>
      <c r="Q380" s="812"/>
      <c r="R380" s="953"/>
    </row>
    <row r="381" spans="1:18" s="440" customFormat="1" ht="54.75" customHeight="1">
      <c r="A381" s="984"/>
      <c r="B381" s="972"/>
      <c r="C381" s="450"/>
      <c r="D381" s="438"/>
      <c r="E381" s="957" t="s">
        <v>455</v>
      </c>
      <c r="F381" s="958"/>
      <c r="G381" s="958"/>
      <c r="H381" s="958">
        <v>0</v>
      </c>
      <c r="I381" s="973"/>
      <c r="J381" s="973"/>
      <c r="K381" s="529"/>
      <c r="L381" s="958"/>
      <c r="M381" s="958"/>
      <c r="N381" s="983">
        <v>0</v>
      </c>
      <c r="O381" s="981"/>
      <c r="P381" s="772"/>
      <c r="Q381" s="812"/>
      <c r="R381" s="953"/>
    </row>
    <row r="382" spans="1:18" s="440" customFormat="1" ht="41.25" customHeight="1">
      <c r="A382" s="984"/>
      <c r="B382" s="972"/>
      <c r="C382" s="450"/>
      <c r="D382" s="438"/>
      <c r="E382" s="957" t="s">
        <v>456</v>
      </c>
      <c r="F382" s="958"/>
      <c r="G382" s="958"/>
      <c r="H382" s="958">
        <v>0</v>
      </c>
      <c r="I382" s="973"/>
      <c r="J382" s="973"/>
      <c r="K382" s="529"/>
      <c r="L382" s="958"/>
      <c r="M382" s="958"/>
      <c r="N382" s="983">
        <v>4281.1400000000003</v>
      </c>
      <c r="O382" s="981"/>
      <c r="P382" s="772"/>
      <c r="Q382" s="812"/>
      <c r="R382" s="953"/>
    </row>
    <row r="383" spans="1:18" s="440" customFormat="1" ht="54.75" customHeight="1">
      <c r="A383" s="984"/>
      <c r="B383" s="972"/>
      <c r="C383" s="450"/>
      <c r="D383" s="438"/>
      <c r="E383" s="957" t="s">
        <v>457</v>
      </c>
      <c r="F383" s="958"/>
      <c r="G383" s="958"/>
      <c r="H383" s="958">
        <v>0</v>
      </c>
      <c r="I383" s="973"/>
      <c r="J383" s="973"/>
      <c r="K383" s="529"/>
      <c r="L383" s="958"/>
      <c r="M383" s="958"/>
      <c r="N383" s="983">
        <v>0</v>
      </c>
      <c r="O383" s="981"/>
      <c r="P383" s="772"/>
      <c r="Q383" s="812"/>
      <c r="R383" s="953"/>
    </row>
    <row r="384" spans="1:18" s="440" customFormat="1" ht="43.5" customHeight="1">
      <c r="A384" s="984"/>
      <c r="B384" s="972"/>
      <c r="C384" s="450"/>
      <c r="D384" s="438"/>
      <c r="E384" s="957" t="s">
        <v>458</v>
      </c>
      <c r="F384" s="961"/>
      <c r="G384" s="961"/>
      <c r="H384" s="958">
        <v>32231.32</v>
      </c>
      <c r="I384" s="973"/>
      <c r="J384" s="973"/>
      <c r="K384" s="529"/>
      <c r="L384" s="961"/>
      <c r="M384" s="961"/>
      <c r="N384" s="983">
        <v>142571.1</v>
      </c>
      <c r="O384" s="981"/>
      <c r="P384" s="772"/>
      <c r="Q384" s="812"/>
      <c r="R384" s="953"/>
    </row>
    <row r="385" spans="1:18" s="440" customFormat="1" ht="43.5" customHeight="1">
      <c r="A385" s="984"/>
      <c r="B385" s="972"/>
      <c r="C385" s="450"/>
      <c r="D385" s="438"/>
      <c r="E385" s="957" t="s">
        <v>459</v>
      </c>
      <c r="F385" s="961"/>
      <c r="G385" s="961"/>
      <c r="H385" s="958">
        <v>0</v>
      </c>
      <c r="I385" s="973"/>
      <c r="J385" s="973"/>
      <c r="K385" s="529"/>
      <c r="L385" s="961"/>
      <c r="M385" s="961"/>
      <c r="N385" s="983">
        <v>12592.57</v>
      </c>
      <c r="O385" s="981"/>
      <c r="P385" s="772"/>
      <c r="Q385" s="812"/>
      <c r="R385" s="953"/>
    </row>
    <row r="386" spans="1:18" s="440" customFormat="1" ht="43.5" customHeight="1">
      <c r="A386" s="984"/>
      <c r="B386" s="972"/>
      <c r="C386" s="450"/>
      <c r="D386" s="438"/>
      <c r="E386" s="957" t="s">
        <v>460</v>
      </c>
      <c r="F386" s="961"/>
      <c r="G386" s="961"/>
      <c r="H386" s="958">
        <v>692</v>
      </c>
      <c r="I386" s="973"/>
      <c r="J386" s="973"/>
      <c r="K386" s="529"/>
      <c r="L386" s="961"/>
      <c r="M386" s="961"/>
      <c r="N386" s="983">
        <v>4057.72</v>
      </c>
      <c r="O386" s="981"/>
      <c r="P386" s="772"/>
      <c r="Q386" s="812"/>
      <c r="R386" s="953"/>
    </row>
    <row r="387" spans="1:18" s="440" customFormat="1" ht="43.5" customHeight="1">
      <c r="A387" s="984"/>
      <c r="B387" s="972"/>
      <c r="C387" s="450"/>
      <c r="D387" s="438"/>
      <c r="E387" s="957" t="s">
        <v>461</v>
      </c>
      <c r="F387" s="961"/>
      <c r="G387" s="961"/>
      <c r="H387" s="958">
        <v>35817</v>
      </c>
      <c r="I387" s="973"/>
      <c r="J387" s="973"/>
      <c r="K387" s="529"/>
      <c r="L387" s="961"/>
      <c r="M387" s="961"/>
      <c r="N387" s="983">
        <v>121582.21</v>
      </c>
      <c r="O387" s="981"/>
      <c r="P387" s="772"/>
      <c r="Q387" s="812"/>
      <c r="R387" s="953"/>
    </row>
    <row r="388" spans="1:18" s="440" customFormat="1" ht="43.5" customHeight="1">
      <c r="A388" s="984"/>
      <c r="B388" s="972"/>
      <c r="C388" s="450"/>
      <c r="D388" s="438"/>
      <c r="E388" s="957" t="s">
        <v>462</v>
      </c>
      <c r="F388" s="961"/>
      <c r="G388" s="961"/>
      <c r="H388" s="958">
        <v>0</v>
      </c>
      <c r="I388" s="973"/>
      <c r="J388" s="973"/>
      <c r="K388" s="529"/>
      <c r="L388" s="961"/>
      <c r="M388" s="961"/>
      <c r="N388" s="983">
        <v>0</v>
      </c>
      <c r="O388" s="981"/>
      <c r="P388" s="772"/>
      <c r="Q388" s="812"/>
      <c r="R388" s="953"/>
    </row>
    <row r="389" spans="1:18" s="440" customFormat="1" ht="43.5" customHeight="1">
      <c r="A389" s="984"/>
      <c r="B389" s="972"/>
      <c r="C389" s="450"/>
      <c r="D389" s="438"/>
      <c r="E389" s="957" t="s">
        <v>569</v>
      </c>
      <c r="F389" s="961"/>
      <c r="G389" s="961"/>
      <c r="H389" s="958">
        <v>0</v>
      </c>
      <c r="I389" s="973"/>
      <c r="J389" s="973"/>
      <c r="K389" s="529"/>
      <c r="L389" s="961"/>
      <c r="M389" s="961"/>
      <c r="N389" s="983">
        <v>15554.16</v>
      </c>
      <c r="O389" s="981"/>
      <c r="P389" s="772"/>
      <c r="Q389" s="812"/>
      <c r="R389" s="953"/>
    </row>
    <row r="390" spans="1:18" s="440" customFormat="1" ht="43.5" customHeight="1">
      <c r="A390" s="984"/>
      <c r="B390" s="972"/>
      <c r="C390" s="450"/>
      <c r="D390" s="438"/>
      <c r="E390" s="957" t="s">
        <v>464</v>
      </c>
      <c r="F390" s="961"/>
      <c r="G390" s="961"/>
      <c r="H390" s="958">
        <v>0</v>
      </c>
      <c r="I390" s="973"/>
      <c r="J390" s="973"/>
      <c r="K390" s="529"/>
      <c r="L390" s="961"/>
      <c r="M390" s="961"/>
      <c r="N390" s="983">
        <v>0</v>
      </c>
      <c r="O390" s="981"/>
      <c r="P390" s="772"/>
      <c r="Q390" s="812"/>
      <c r="R390" s="953"/>
    </row>
    <row r="391" spans="1:18" s="440" customFormat="1" ht="43.5" customHeight="1">
      <c r="A391" s="984"/>
      <c r="B391" s="972"/>
      <c r="C391" s="450"/>
      <c r="D391" s="438"/>
      <c r="E391" s="957" t="s">
        <v>465</v>
      </c>
      <c r="F391" s="961"/>
      <c r="G391" s="961"/>
      <c r="H391" s="958">
        <v>0</v>
      </c>
      <c r="I391" s="973"/>
      <c r="J391" s="973"/>
      <c r="K391" s="529"/>
      <c r="L391" s="961"/>
      <c r="M391" s="961"/>
      <c r="N391" s="983">
        <v>500</v>
      </c>
      <c r="O391" s="981"/>
      <c r="P391" s="772"/>
      <c r="Q391" s="812"/>
      <c r="R391" s="953"/>
    </row>
    <row r="392" spans="1:18" s="440" customFormat="1" ht="43.5" customHeight="1">
      <c r="A392" s="984"/>
      <c r="B392" s="972"/>
      <c r="C392" s="450"/>
      <c r="D392" s="438"/>
      <c r="E392" s="957" t="s">
        <v>466</v>
      </c>
      <c r="F392" s="961"/>
      <c r="G392" s="961"/>
      <c r="H392" s="958">
        <v>1674.81</v>
      </c>
      <c r="I392" s="973"/>
      <c r="J392" s="973"/>
      <c r="K392" s="529"/>
      <c r="L392" s="961"/>
      <c r="M392" s="961"/>
      <c r="N392" s="983">
        <v>15345.04</v>
      </c>
      <c r="O392" s="981"/>
      <c r="P392" s="772"/>
      <c r="Q392" s="812"/>
      <c r="R392" s="953"/>
    </row>
    <row r="393" spans="1:18" s="440" customFormat="1" ht="57" customHeight="1">
      <c r="A393" s="984"/>
      <c r="B393" s="972"/>
      <c r="C393" s="986"/>
      <c r="D393" s="438"/>
      <c r="E393" s="945" t="s">
        <v>467</v>
      </c>
      <c r="F393" s="949">
        <v>117300</v>
      </c>
      <c r="G393" s="949">
        <v>111778</v>
      </c>
      <c r="H393" s="949">
        <v>74715.13</v>
      </c>
      <c r="I393" s="973"/>
      <c r="J393" s="973"/>
      <c r="K393" s="529"/>
      <c r="L393" s="949">
        <f>L394</f>
        <v>0</v>
      </c>
      <c r="M393" s="949">
        <f t="shared" ref="M393:N393" si="63">M394</f>
        <v>71000</v>
      </c>
      <c r="N393" s="949">
        <f t="shared" si="63"/>
        <v>0</v>
      </c>
      <c r="O393" s="978">
        <f t="shared" ref="O393:O400" si="64">N393/M393</f>
        <v>0</v>
      </c>
      <c r="P393" s="772" t="s">
        <v>395</v>
      </c>
      <c r="Q393" s="812"/>
      <c r="R393" s="953"/>
    </row>
    <row r="394" spans="1:18" s="440" customFormat="1" ht="66" customHeight="1">
      <c r="A394" s="984"/>
      <c r="B394" s="972"/>
      <c r="C394" s="975"/>
      <c r="D394" s="1018" t="s">
        <v>21</v>
      </c>
      <c r="E394" s="1006" t="s">
        <v>576</v>
      </c>
      <c r="F394" s="1019"/>
      <c r="G394" s="1020"/>
      <c r="H394" s="1020"/>
      <c r="I394" s="1020"/>
      <c r="J394" s="1020"/>
      <c r="K394" s="1021">
        <v>29000</v>
      </c>
      <c r="L394" s="1021">
        <v>0</v>
      </c>
      <c r="M394" s="1021">
        <v>71000</v>
      </c>
      <c r="N394" s="1021">
        <v>0</v>
      </c>
      <c r="O394" s="1022">
        <f t="shared" si="64"/>
        <v>0</v>
      </c>
      <c r="P394" s="1023" t="s">
        <v>395</v>
      </c>
      <c r="Q394" s="812"/>
      <c r="R394" s="953"/>
    </row>
    <row r="395" spans="1:18" s="268" customFormat="1" ht="74.25" customHeight="1">
      <c r="A395" s="559"/>
      <c r="B395" s="61"/>
      <c r="C395" s="180">
        <v>3</v>
      </c>
      <c r="D395" s="284"/>
      <c r="E395" s="278" t="s">
        <v>62</v>
      </c>
      <c r="F395" s="518"/>
      <c r="G395" s="277"/>
      <c r="H395" s="277"/>
      <c r="I395" s="277"/>
      <c r="J395" s="277"/>
      <c r="K395" s="452">
        <v>150000</v>
      </c>
      <c r="L395" s="452">
        <f>SUM(F395:K395)</f>
        <v>150000</v>
      </c>
      <c r="M395" s="452">
        <v>150000</v>
      </c>
      <c r="N395" s="452">
        <v>55260</v>
      </c>
      <c r="O395" s="873">
        <f t="shared" si="64"/>
        <v>0.36840000000000001</v>
      </c>
      <c r="P395" s="765" t="s">
        <v>395</v>
      </c>
      <c r="Q395" s="651"/>
    </row>
    <row r="396" spans="1:18" s="268" customFormat="1" ht="74.25" customHeight="1">
      <c r="A396" s="559"/>
      <c r="B396" s="61"/>
      <c r="C396" s="180">
        <v>4</v>
      </c>
      <c r="D396" s="284"/>
      <c r="E396" s="278" t="s">
        <v>145</v>
      </c>
      <c r="F396" s="518"/>
      <c r="G396" s="277"/>
      <c r="H396" s="277"/>
      <c r="I396" s="277"/>
      <c r="J396" s="277"/>
      <c r="K396" s="452">
        <v>1055000</v>
      </c>
      <c r="L396" s="452">
        <f>SUM(F396:K396)</f>
        <v>1055000</v>
      </c>
      <c r="M396" s="452">
        <v>1232000</v>
      </c>
      <c r="N396" s="452">
        <v>598827.61</v>
      </c>
      <c r="O396" s="873">
        <f t="shared" si="64"/>
        <v>0.48606137175324676</v>
      </c>
      <c r="P396" s="765" t="s">
        <v>395</v>
      </c>
      <c r="Q396" s="651"/>
    </row>
    <row r="397" spans="1:18" s="76" customFormat="1" ht="64.5" customHeight="1">
      <c r="A397" s="573"/>
      <c r="B397" s="75">
        <v>80103</v>
      </c>
      <c r="C397" s="74"/>
      <c r="D397" s="73"/>
      <c r="E397" s="72" t="s">
        <v>63</v>
      </c>
      <c r="F397" s="409">
        <f>F398+F399+F400+F486+F487</f>
        <v>0</v>
      </c>
      <c r="G397" s="409">
        <f>G398+G399+G400+G486+G487</f>
        <v>0</v>
      </c>
      <c r="H397" s="409">
        <f>H398+H399+H400+H486+H487</f>
        <v>0</v>
      </c>
      <c r="I397" s="409">
        <f>I398+I399+I400+I486+I487</f>
        <v>0</v>
      </c>
      <c r="J397" s="409">
        <f>J398+J399+J400+J486+J487</f>
        <v>0</v>
      </c>
      <c r="K397" s="409">
        <f>K398+K399+K400+K486+K487+K443</f>
        <v>1911000</v>
      </c>
      <c r="L397" s="92">
        <f>L398+L399+L400+L486+L487+L443</f>
        <v>1911000</v>
      </c>
      <c r="M397" s="92">
        <f t="shared" ref="M397:N397" si="65">M398+M399+M400+M486+M487+M443</f>
        <v>1972003</v>
      </c>
      <c r="N397" s="92">
        <f t="shared" si="65"/>
        <v>1165084.74</v>
      </c>
      <c r="O397" s="755">
        <f t="shared" si="64"/>
        <v>0.59081286387495358</v>
      </c>
      <c r="P397" s="764" t="s">
        <v>395</v>
      </c>
      <c r="Q397" s="650"/>
    </row>
    <row r="398" spans="1:18" s="268" customFormat="1" ht="71.25" customHeight="1">
      <c r="A398" s="559"/>
      <c r="B398" s="61"/>
      <c r="C398" s="180">
        <v>1</v>
      </c>
      <c r="D398" s="284"/>
      <c r="E398" s="278" t="s">
        <v>62</v>
      </c>
      <c r="F398" s="518"/>
      <c r="G398" s="277"/>
      <c r="H398" s="277"/>
      <c r="I398" s="277"/>
      <c r="J398" s="277"/>
      <c r="K398" s="451">
        <v>160000</v>
      </c>
      <c r="L398" s="451">
        <f t="shared" ref="L398:L399" si="66">SUM(F398:K398)</f>
        <v>160000</v>
      </c>
      <c r="M398" s="451">
        <v>160000</v>
      </c>
      <c r="N398" s="451">
        <v>76497.61</v>
      </c>
      <c r="O398" s="837">
        <f t="shared" si="64"/>
        <v>0.47811006249999999</v>
      </c>
      <c r="P398" s="765" t="s">
        <v>395</v>
      </c>
      <c r="Q398" s="651"/>
    </row>
    <row r="399" spans="1:18" s="268" customFormat="1" ht="71.25" customHeight="1">
      <c r="A399" s="559"/>
      <c r="B399" s="61"/>
      <c r="C399" s="180">
        <v>2</v>
      </c>
      <c r="D399" s="284"/>
      <c r="E399" s="278" t="s">
        <v>145</v>
      </c>
      <c r="F399" s="518"/>
      <c r="G399" s="277"/>
      <c r="H399" s="277"/>
      <c r="I399" s="277"/>
      <c r="J399" s="277"/>
      <c r="K399" s="451">
        <v>300000</v>
      </c>
      <c r="L399" s="451">
        <f t="shared" si="66"/>
        <v>300000</v>
      </c>
      <c r="M399" s="451">
        <v>345000</v>
      </c>
      <c r="N399" s="451">
        <v>165648.95999999999</v>
      </c>
      <c r="O399" s="837">
        <f t="shared" si="64"/>
        <v>0.48014191304347825</v>
      </c>
      <c r="P399" s="765" t="s">
        <v>395</v>
      </c>
      <c r="Q399" s="651"/>
    </row>
    <row r="400" spans="1:18" s="435" customFormat="1" ht="62.25" customHeight="1">
      <c r="A400" s="433"/>
      <c r="B400" s="420"/>
      <c r="C400" s="453">
        <v>3</v>
      </c>
      <c r="D400" s="454"/>
      <c r="E400" s="178" t="s">
        <v>220</v>
      </c>
      <c r="F400" s="455"/>
      <c r="G400" s="480"/>
      <c r="H400" s="455"/>
      <c r="I400" s="480"/>
      <c r="J400" s="455"/>
      <c r="K400" s="470">
        <v>718000</v>
      </c>
      <c r="L400" s="452">
        <f>L401+L420+L442</f>
        <v>718000</v>
      </c>
      <c r="M400" s="452">
        <f t="shared" ref="M400:N400" si="67">M401+M420+M442</f>
        <v>719003</v>
      </c>
      <c r="N400" s="452">
        <f t="shared" si="67"/>
        <v>470153.11</v>
      </c>
      <c r="O400" s="873">
        <f t="shared" si="64"/>
        <v>0.65389589473201082</v>
      </c>
      <c r="P400" s="784" t="s">
        <v>395</v>
      </c>
      <c r="Q400" s="668"/>
    </row>
    <row r="401" spans="1:18" s="431" customFormat="1" ht="39.9" customHeight="1">
      <c r="A401" s="987"/>
      <c r="B401" s="944"/>
      <c r="C401" s="458"/>
      <c r="D401" s="444"/>
      <c r="E401" s="945" t="s">
        <v>412</v>
      </c>
      <c r="F401" s="976"/>
      <c r="G401" s="946"/>
      <c r="H401" s="946"/>
      <c r="I401" s="946"/>
      <c r="J401" s="947"/>
      <c r="K401" s="948"/>
      <c r="L401" s="949">
        <v>620000</v>
      </c>
      <c r="M401" s="949">
        <v>620000</v>
      </c>
      <c r="N401" s="977">
        <f>SUM(N403:N419)</f>
        <v>405546.75</v>
      </c>
      <c r="O401" s="978">
        <f t="shared" ref="O401" si="68">N401/M401</f>
        <v>0.65410766129032261</v>
      </c>
      <c r="P401" s="780" t="s">
        <v>395</v>
      </c>
      <c r="Q401" s="908"/>
      <c r="R401" s="951"/>
    </row>
    <row r="402" spans="1:18" s="440" customFormat="1" ht="34.5" customHeight="1">
      <c r="A402" s="984"/>
      <c r="B402" s="972"/>
      <c r="C402" s="450"/>
      <c r="D402" s="438"/>
      <c r="E402" s="952" t="s">
        <v>13</v>
      </c>
      <c r="F402" s="985"/>
      <c r="G402" s="973"/>
      <c r="H402" s="973"/>
      <c r="I402" s="973"/>
      <c r="J402" s="973"/>
      <c r="K402" s="383"/>
      <c r="L402" s="980"/>
      <c r="M402" s="980"/>
      <c r="N402" s="980"/>
      <c r="O402" s="981"/>
      <c r="P402" s="772"/>
      <c r="Q402" s="812"/>
      <c r="R402" s="953"/>
    </row>
    <row r="403" spans="1:18" s="440" customFormat="1" ht="36" customHeight="1">
      <c r="A403" s="984"/>
      <c r="B403" s="972"/>
      <c r="C403" s="450"/>
      <c r="D403" s="425"/>
      <c r="E403" s="954" t="s">
        <v>535</v>
      </c>
      <c r="F403" s="985"/>
      <c r="G403" s="973"/>
      <c r="H403" s="973"/>
      <c r="I403" s="973"/>
      <c r="J403" s="973"/>
      <c r="K403" s="383"/>
      <c r="L403" s="955"/>
      <c r="M403" s="955"/>
      <c r="N403" s="983">
        <v>203911.51</v>
      </c>
      <c r="O403" s="981"/>
      <c r="P403" s="772"/>
      <c r="Q403" s="812"/>
      <c r="R403" s="953"/>
    </row>
    <row r="404" spans="1:18" s="440" customFormat="1" ht="57" customHeight="1">
      <c r="A404" s="984"/>
      <c r="B404" s="972"/>
      <c r="C404" s="450"/>
      <c r="D404" s="438"/>
      <c r="E404" s="954" t="s">
        <v>536</v>
      </c>
      <c r="F404" s="985"/>
      <c r="G404" s="973"/>
      <c r="H404" s="973"/>
      <c r="I404" s="973"/>
      <c r="J404" s="973"/>
      <c r="K404" s="383"/>
      <c r="L404" s="955"/>
      <c r="M404" s="955"/>
      <c r="N404" s="983">
        <v>23277.599999999999</v>
      </c>
      <c r="O404" s="981"/>
      <c r="P404" s="772"/>
      <c r="Q404" s="812"/>
      <c r="R404" s="953"/>
    </row>
    <row r="405" spans="1:18" s="440" customFormat="1" ht="53.25" customHeight="1">
      <c r="A405" s="984"/>
      <c r="B405" s="972"/>
      <c r="C405" s="450"/>
      <c r="D405" s="438"/>
      <c r="E405" s="954" t="s">
        <v>537</v>
      </c>
      <c r="F405" s="985"/>
      <c r="G405" s="973"/>
      <c r="H405" s="973"/>
      <c r="I405" s="973"/>
      <c r="J405" s="973"/>
      <c r="K405" s="383"/>
      <c r="L405" s="955"/>
      <c r="M405" s="955"/>
      <c r="N405" s="983">
        <v>1857.55</v>
      </c>
      <c r="O405" s="981"/>
      <c r="P405" s="772"/>
      <c r="Q405" s="812"/>
      <c r="R405" s="953"/>
    </row>
    <row r="406" spans="1:18" s="440" customFormat="1" ht="36" customHeight="1">
      <c r="A406" s="984"/>
      <c r="B406" s="972"/>
      <c r="C406" s="450"/>
      <c r="D406" s="438"/>
      <c r="E406" s="954" t="s">
        <v>538</v>
      </c>
      <c r="F406" s="985"/>
      <c r="G406" s="973"/>
      <c r="H406" s="973"/>
      <c r="I406" s="973"/>
      <c r="J406" s="973"/>
      <c r="K406" s="383"/>
      <c r="L406" s="955"/>
      <c r="M406" s="955"/>
      <c r="N406" s="983">
        <v>2959.86</v>
      </c>
      <c r="O406" s="981"/>
      <c r="P406" s="772"/>
      <c r="Q406" s="812"/>
      <c r="R406" s="953"/>
    </row>
    <row r="407" spans="1:18" s="440" customFormat="1" ht="36" customHeight="1">
      <c r="A407" s="984"/>
      <c r="B407" s="972"/>
      <c r="C407" s="450"/>
      <c r="D407" s="438"/>
      <c r="E407" s="954" t="s">
        <v>534</v>
      </c>
      <c r="F407" s="985"/>
      <c r="G407" s="973"/>
      <c r="H407" s="973"/>
      <c r="I407" s="973"/>
      <c r="J407" s="973"/>
      <c r="K407" s="383"/>
      <c r="L407" s="955"/>
      <c r="M407" s="955"/>
      <c r="N407" s="983">
        <v>0</v>
      </c>
      <c r="O407" s="981"/>
      <c r="P407" s="772"/>
      <c r="Q407" s="812"/>
      <c r="R407" s="953"/>
    </row>
    <row r="408" spans="1:18" s="440" customFormat="1" ht="36" customHeight="1">
      <c r="A408" s="984"/>
      <c r="B408" s="972"/>
      <c r="C408" s="450"/>
      <c r="D408" s="438"/>
      <c r="E408" s="954" t="s">
        <v>437</v>
      </c>
      <c r="F408" s="985"/>
      <c r="G408" s="973"/>
      <c r="H408" s="973"/>
      <c r="I408" s="973"/>
      <c r="J408" s="973"/>
      <c r="K408" s="383"/>
      <c r="L408" s="955"/>
      <c r="M408" s="955"/>
      <c r="N408" s="983">
        <v>0</v>
      </c>
      <c r="O408" s="981"/>
      <c r="P408" s="772"/>
      <c r="Q408" s="812"/>
      <c r="R408" s="953"/>
    </row>
    <row r="409" spans="1:18" s="440" customFormat="1" ht="36" customHeight="1">
      <c r="A409" s="984"/>
      <c r="B409" s="972"/>
      <c r="C409" s="450"/>
      <c r="D409" s="438"/>
      <c r="E409" s="954" t="s">
        <v>438</v>
      </c>
      <c r="F409" s="985"/>
      <c r="G409" s="973"/>
      <c r="H409" s="973"/>
      <c r="I409" s="973"/>
      <c r="J409" s="973"/>
      <c r="K409" s="383"/>
      <c r="L409" s="955"/>
      <c r="M409" s="955"/>
      <c r="N409" s="983">
        <v>678.28</v>
      </c>
      <c r="O409" s="981"/>
      <c r="P409" s="772"/>
      <c r="Q409" s="812"/>
      <c r="R409" s="953"/>
    </row>
    <row r="410" spans="1:18" s="440" customFormat="1" ht="36" customHeight="1">
      <c r="A410" s="984"/>
      <c r="B410" s="972"/>
      <c r="C410" s="450"/>
      <c r="D410" s="438"/>
      <c r="E410" s="954" t="s">
        <v>539</v>
      </c>
      <c r="F410" s="985"/>
      <c r="G410" s="973"/>
      <c r="H410" s="973"/>
      <c r="I410" s="973"/>
      <c r="J410" s="973"/>
      <c r="K410" s="383"/>
      <c r="L410" s="955"/>
      <c r="M410" s="955"/>
      <c r="N410" s="983">
        <v>1253.07</v>
      </c>
      <c r="O410" s="981"/>
      <c r="P410" s="772"/>
      <c r="Q410" s="812"/>
      <c r="R410" s="953"/>
    </row>
    <row r="411" spans="1:18" s="440" customFormat="1" ht="36" customHeight="1">
      <c r="A411" s="984"/>
      <c r="B411" s="972"/>
      <c r="C411" s="450"/>
      <c r="D411" s="438"/>
      <c r="E411" s="954" t="s">
        <v>439</v>
      </c>
      <c r="F411" s="985"/>
      <c r="G411" s="973"/>
      <c r="H411" s="973"/>
      <c r="I411" s="973"/>
      <c r="J411" s="973"/>
      <c r="K411" s="383"/>
      <c r="L411" s="955"/>
      <c r="M411" s="955"/>
      <c r="N411" s="983">
        <v>0</v>
      </c>
      <c r="O411" s="981"/>
      <c r="P411" s="772"/>
      <c r="Q411" s="812"/>
      <c r="R411" s="953"/>
    </row>
    <row r="412" spans="1:18" s="440" customFormat="1" ht="36" customHeight="1">
      <c r="A412" s="984"/>
      <c r="B412" s="972"/>
      <c r="C412" s="450"/>
      <c r="D412" s="438"/>
      <c r="E412" s="954" t="s">
        <v>440</v>
      </c>
      <c r="F412" s="985"/>
      <c r="G412" s="973"/>
      <c r="H412" s="973"/>
      <c r="I412" s="973"/>
      <c r="J412" s="973"/>
      <c r="K412" s="383"/>
      <c r="L412" s="955"/>
      <c r="M412" s="955"/>
      <c r="N412" s="983">
        <v>0</v>
      </c>
      <c r="O412" s="981"/>
      <c r="P412" s="772"/>
      <c r="Q412" s="812"/>
      <c r="R412" s="953"/>
    </row>
    <row r="413" spans="1:18" s="440" customFormat="1" ht="36" customHeight="1">
      <c r="A413" s="984"/>
      <c r="B413" s="972"/>
      <c r="C413" s="450"/>
      <c r="D413" s="438"/>
      <c r="E413" s="954" t="s">
        <v>441</v>
      </c>
      <c r="F413" s="985"/>
      <c r="G413" s="973"/>
      <c r="H413" s="973"/>
      <c r="I413" s="973"/>
      <c r="J413" s="973"/>
      <c r="K413" s="383"/>
      <c r="L413" s="955"/>
      <c r="M413" s="955"/>
      <c r="N413" s="983">
        <v>0</v>
      </c>
      <c r="O413" s="981"/>
      <c r="P413" s="772"/>
      <c r="Q413" s="812"/>
      <c r="R413" s="953"/>
    </row>
    <row r="414" spans="1:18" s="440" customFormat="1" ht="57" customHeight="1">
      <c r="A414" s="984"/>
      <c r="B414" s="972"/>
      <c r="C414" s="450"/>
      <c r="D414" s="438"/>
      <c r="E414" s="954" t="s">
        <v>540</v>
      </c>
      <c r="F414" s="985"/>
      <c r="G414" s="973"/>
      <c r="H414" s="973"/>
      <c r="I414" s="973"/>
      <c r="J414" s="973"/>
      <c r="K414" s="383"/>
      <c r="L414" s="955"/>
      <c r="M414" s="955"/>
      <c r="N414" s="983">
        <v>65526.68</v>
      </c>
      <c r="O414" s="981"/>
      <c r="P414" s="772"/>
      <c r="Q414" s="812"/>
      <c r="R414" s="953"/>
    </row>
    <row r="415" spans="1:18" s="440" customFormat="1" ht="36" customHeight="1">
      <c r="A415" s="984"/>
      <c r="B415" s="972"/>
      <c r="C415" s="450"/>
      <c r="D415" s="438"/>
      <c r="E415" s="954" t="s">
        <v>442</v>
      </c>
      <c r="F415" s="985"/>
      <c r="G415" s="973"/>
      <c r="H415" s="973"/>
      <c r="I415" s="973"/>
      <c r="J415" s="973"/>
      <c r="K415" s="383"/>
      <c r="L415" s="955"/>
      <c r="M415" s="955"/>
      <c r="N415" s="983">
        <v>0</v>
      </c>
      <c r="O415" s="981"/>
      <c r="P415" s="772"/>
      <c r="Q415" s="812"/>
      <c r="R415" s="953"/>
    </row>
    <row r="416" spans="1:18" s="440" customFormat="1" ht="36" customHeight="1">
      <c r="A416" s="984"/>
      <c r="B416" s="972"/>
      <c r="C416" s="450"/>
      <c r="D416" s="438"/>
      <c r="E416" s="954" t="s">
        <v>443</v>
      </c>
      <c r="F416" s="985"/>
      <c r="G416" s="973"/>
      <c r="H416" s="973"/>
      <c r="I416" s="973"/>
      <c r="J416" s="973"/>
      <c r="K416" s="383"/>
      <c r="L416" s="955"/>
      <c r="M416" s="955"/>
      <c r="N416" s="983">
        <v>39427.61</v>
      </c>
      <c r="O416" s="981"/>
      <c r="P416" s="772"/>
      <c r="Q416" s="812"/>
      <c r="R416" s="953"/>
    </row>
    <row r="417" spans="1:18" s="440" customFormat="1" ht="36" customHeight="1">
      <c r="A417" s="984"/>
      <c r="B417" s="972"/>
      <c r="C417" s="450"/>
      <c r="D417" s="438"/>
      <c r="E417" s="954" t="s">
        <v>485</v>
      </c>
      <c r="F417" s="985"/>
      <c r="G417" s="973"/>
      <c r="H417" s="973"/>
      <c r="I417" s="973"/>
      <c r="J417" s="973"/>
      <c r="K417" s="383"/>
      <c r="L417" s="955"/>
      <c r="M417" s="955"/>
      <c r="N417" s="983">
        <v>0</v>
      </c>
      <c r="O417" s="981"/>
      <c r="P417" s="772"/>
      <c r="Q417" s="812"/>
      <c r="R417" s="953"/>
    </row>
    <row r="418" spans="1:18" s="440" customFormat="1" ht="36" customHeight="1">
      <c r="A418" s="984"/>
      <c r="B418" s="972"/>
      <c r="C418" s="450"/>
      <c r="D418" s="438"/>
      <c r="E418" s="954" t="s">
        <v>541</v>
      </c>
      <c r="F418" s="985"/>
      <c r="G418" s="973"/>
      <c r="H418" s="973"/>
      <c r="I418" s="973"/>
      <c r="J418" s="973"/>
      <c r="K418" s="383"/>
      <c r="L418" s="955"/>
      <c r="M418" s="955"/>
      <c r="N418" s="983">
        <v>1785</v>
      </c>
      <c r="O418" s="981"/>
      <c r="P418" s="772"/>
      <c r="Q418" s="812"/>
      <c r="R418" s="953"/>
    </row>
    <row r="419" spans="1:18" s="440" customFormat="1" ht="36" customHeight="1">
      <c r="A419" s="984"/>
      <c r="B419" s="972"/>
      <c r="C419" s="450"/>
      <c r="D419" s="438"/>
      <c r="E419" s="954" t="s">
        <v>446</v>
      </c>
      <c r="F419" s="985"/>
      <c r="G419" s="973"/>
      <c r="H419" s="973"/>
      <c r="I419" s="973"/>
      <c r="J419" s="973"/>
      <c r="K419" s="383"/>
      <c r="L419" s="955"/>
      <c r="M419" s="955"/>
      <c r="N419" s="983">
        <v>64869.59</v>
      </c>
      <c r="O419" s="981"/>
      <c r="P419" s="772"/>
      <c r="Q419" s="812"/>
      <c r="R419" s="953"/>
    </row>
    <row r="420" spans="1:18" s="440" customFormat="1" ht="48.75" customHeight="1">
      <c r="A420" s="984"/>
      <c r="B420" s="972"/>
      <c r="C420" s="986"/>
      <c r="D420" s="438"/>
      <c r="E420" s="945" t="s">
        <v>418</v>
      </c>
      <c r="F420" s="949">
        <v>117300</v>
      </c>
      <c r="G420" s="949">
        <v>111778</v>
      </c>
      <c r="H420" s="949">
        <v>74715.13</v>
      </c>
      <c r="I420" s="973"/>
      <c r="J420" s="973"/>
      <c r="K420" s="529"/>
      <c r="L420" s="949">
        <v>98000</v>
      </c>
      <c r="M420" s="949">
        <v>99003</v>
      </c>
      <c r="N420" s="977">
        <f>SUM(N421:N441)</f>
        <v>64606.36</v>
      </c>
      <c r="O420" s="978">
        <f>N420/M420</f>
        <v>0.65256972010949166</v>
      </c>
      <c r="P420" s="772" t="s">
        <v>395</v>
      </c>
      <c r="Q420" s="812"/>
      <c r="R420" s="953"/>
    </row>
    <row r="421" spans="1:18" s="440" customFormat="1" ht="79.5" customHeight="1">
      <c r="A421" s="984"/>
      <c r="B421" s="972"/>
      <c r="C421" s="986"/>
      <c r="D421" s="438"/>
      <c r="E421" s="957" t="s">
        <v>447</v>
      </c>
      <c r="F421" s="958"/>
      <c r="G421" s="958"/>
      <c r="H421" s="958">
        <v>0</v>
      </c>
      <c r="I421" s="973"/>
      <c r="J421" s="973"/>
      <c r="K421" s="529"/>
      <c r="L421" s="958"/>
      <c r="M421" s="958"/>
      <c r="N421" s="983">
        <v>0</v>
      </c>
      <c r="O421" s="981"/>
      <c r="P421" s="772"/>
      <c r="Q421" s="812"/>
      <c r="R421" s="953"/>
    </row>
    <row r="422" spans="1:18" s="440" customFormat="1" ht="36" customHeight="1">
      <c r="A422" s="984"/>
      <c r="B422" s="972"/>
      <c r="C422" s="986"/>
      <c r="D422" s="438"/>
      <c r="E422" s="957" t="s">
        <v>448</v>
      </c>
      <c r="F422" s="958"/>
      <c r="G422" s="958"/>
      <c r="H422" s="958">
        <v>0</v>
      </c>
      <c r="I422" s="973"/>
      <c r="J422" s="973"/>
      <c r="K422" s="529"/>
      <c r="L422" s="958"/>
      <c r="M422" s="958"/>
      <c r="N422" s="983">
        <v>0</v>
      </c>
      <c r="O422" s="981"/>
      <c r="P422" s="772"/>
      <c r="Q422" s="812"/>
      <c r="R422" s="953"/>
    </row>
    <row r="423" spans="1:18" s="440" customFormat="1" ht="36" customHeight="1">
      <c r="A423" s="984"/>
      <c r="B423" s="972"/>
      <c r="C423" s="986"/>
      <c r="D423" s="438"/>
      <c r="E423" s="957" t="s">
        <v>449</v>
      </c>
      <c r="F423" s="958"/>
      <c r="G423" s="958"/>
      <c r="H423" s="958">
        <v>0</v>
      </c>
      <c r="I423" s="973"/>
      <c r="J423" s="973"/>
      <c r="K423" s="529"/>
      <c r="L423" s="958"/>
      <c r="M423" s="958"/>
      <c r="N423" s="983">
        <v>0</v>
      </c>
      <c r="O423" s="981"/>
      <c r="P423" s="772"/>
      <c r="Q423" s="812"/>
      <c r="R423" s="953"/>
    </row>
    <row r="424" spans="1:18" s="440" customFormat="1" ht="36" customHeight="1">
      <c r="A424" s="984"/>
      <c r="B424" s="972"/>
      <c r="C424" s="986"/>
      <c r="D424" s="438"/>
      <c r="E424" s="957" t="s">
        <v>450</v>
      </c>
      <c r="F424" s="958"/>
      <c r="G424" s="958"/>
      <c r="H424" s="958">
        <v>0</v>
      </c>
      <c r="I424" s="973"/>
      <c r="J424" s="973"/>
      <c r="K424" s="529"/>
      <c r="L424" s="958"/>
      <c r="M424" s="958"/>
      <c r="N424" s="983">
        <v>0</v>
      </c>
      <c r="O424" s="981"/>
      <c r="P424" s="772"/>
      <c r="Q424" s="812"/>
      <c r="R424" s="953"/>
    </row>
    <row r="425" spans="1:18" s="440" customFormat="1" ht="36" customHeight="1">
      <c r="A425" s="984"/>
      <c r="B425" s="972"/>
      <c r="C425" s="986"/>
      <c r="D425" s="438"/>
      <c r="E425" s="957" t="s">
        <v>451</v>
      </c>
      <c r="F425" s="958"/>
      <c r="G425" s="958"/>
      <c r="H425" s="958">
        <v>0</v>
      </c>
      <c r="I425" s="973"/>
      <c r="J425" s="973"/>
      <c r="K425" s="529"/>
      <c r="L425" s="958"/>
      <c r="M425" s="958"/>
      <c r="N425" s="983">
        <v>0</v>
      </c>
      <c r="O425" s="981"/>
      <c r="P425" s="772"/>
      <c r="Q425" s="812"/>
      <c r="R425" s="953"/>
    </row>
    <row r="426" spans="1:18" s="440" customFormat="1" ht="59.25" customHeight="1">
      <c r="A426" s="984"/>
      <c r="B426" s="972"/>
      <c r="C426" s="986"/>
      <c r="D426" s="438"/>
      <c r="E426" s="960" t="s">
        <v>542</v>
      </c>
      <c r="F426" s="958"/>
      <c r="G426" s="958"/>
      <c r="H426" s="958">
        <v>4300</v>
      </c>
      <c r="I426" s="973"/>
      <c r="J426" s="973"/>
      <c r="K426" s="529"/>
      <c r="L426" s="958"/>
      <c r="M426" s="958"/>
      <c r="N426" s="983">
        <v>3148.01</v>
      </c>
      <c r="O426" s="981"/>
      <c r="P426" s="772"/>
      <c r="Q426" s="812"/>
      <c r="R426" s="953"/>
    </row>
    <row r="427" spans="1:18" s="440" customFormat="1" ht="84" customHeight="1">
      <c r="A427" s="984"/>
      <c r="B427" s="972"/>
      <c r="C427" s="986"/>
      <c r="D427" s="438"/>
      <c r="E427" s="957" t="s">
        <v>452</v>
      </c>
      <c r="F427" s="958"/>
      <c r="G427" s="958"/>
      <c r="H427" s="958">
        <v>0</v>
      </c>
      <c r="I427" s="973"/>
      <c r="J427" s="973"/>
      <c r="K427" s="529"/>
      <c r="L427" s="958"/>
      <c r="M427" s="958"/>
      <c r="N427" s="983">
        <v>149.99</v>
      </c>
      <c r="O427" s="981"/>
      <c r="P427" s="772"/>
      <c r="Q427" s="812"/>
      <c r="R427" s="953"/>
    </row>
    <row r="428" spans="1:18" s="440" customFormat="1" ht="62.25" customHeight="1">
      <c r="A428" s="984"/>
      <c r="B428" s="972"/>
      <c r="C428" s="986"/>
      <c r="D428" s="438"/>
      <c r="E428" s="957" t="s">
        <v>453</v>
      </c>
      <c r="F428" s="958"/>
      <c r="G428" s="958"/>
      <c r="H428" s="958">
        <v>0</v>
      </c>
      <c r="I428" s="973"/>
      <c r="J428" s="973"/>
      <c r="K428" s="529"/>
      <c r="L428" s="958"/>
      <c r="M428" s="958"/>
      <c r="N428" s="983">
        <v>0</v>
      </c>
      <c r="O428" s="981"/>
      <c r="P428" s="772"/>
      <c r="Q428" s="812"/>
      <c r="R428" s="953"/>
    </row>
    <row r="429" spans="1:18" s="440" customFormat="1" ht="54.75" customHeight="1">
      <c r="A429" s="984"/>
      <c r="B429" s="972"/>
      <c r="C429" s="986"/>
      <c r="D429" s="438"/>
      <c r="E429" s="957" t="s">
        <v>454</v>
      </c>
      <c r="F429" s="958"/>
      <c r="G429" s="958"/>
      <c r="H429" s="958">
        <v>0</v>
      </c>
      <c r="I429" s="973"/>
      <c r="J429" s="973"/>
      <c r="K429" s="529"/>
      <c r="L429" s="958"/>
      <c r="M429" s="958"/>
      <c r="N429" s="983">
        <v>2356.92</v>
      </c>
      <c r="O429" s="981"/>
      <c r="P429" s="772"/>
      <c r="Q429" s="812"/>
      <c r="R429" s="953"/>
    </row>
    <row r="430" spans="1:18" s="440" customFormat="1" ht="67.2" customHeight="1">
      <c r="A430" s="984"/>
      <c r="B430" s="972"/>
      <c r="C430" s="986"/>
      <c r="D430" s="438"/>
      <c r="E430" s="957" t="s">
        <v>455</v>
      </c>
      <c r="F430" s="958"/>
      <c r="G430" s="958"/>
      <c r="H430" s="958">
        <v>0</v>
      </c>
      <c r="I430" s="973"/>
      <c r="J430" s="973"/>
      <c r="K430" s="529"/>
      <c r="L430" s="958"/>
      <c r="M430" s="958"/>
      <c r="N430" s="983">
        <v>0</v>
      </c>
      <c r="O430" s="981"/>
      <c r="P430" s="772"/>
      <c r="Q430" s="812"/>
      <c r="R430" s="953"/>
    </row>
    <row r="431" spans="1:18" s="440" customFormat="1" ht="47.25" customHeight="1">
      <c r="A431" s="984"/>
      <c r="B431" s="972"/>
      <c r="C431" s="986"/>
      <c r="D431" s="438"/>
      <c r="E431" s="957" t="s">
        <v>456</v>
      </c>
      <c r="F431" s="958"/>
      <c r="G431" s="958"/>
      <c r="H431" s="958">
        <v>0</v>
      </c>
      <c r="I431" s="973"/>
      <c r="J431" s="973"/>
      <c r="K431" s="529"/>
      <c r="L431" s="958"/>
      <c r="M431" s="958"/>
      <c r="N431" s="983">
        <v>120</v>
      </c>
      <c r="O431" s="981"/>
      <c r="P431" s="772"/>
      <c r="Q431" s="812"/>
      <c r="R431" s="953"/>
    </row>
    <row r="432" spans="1:18" s="440" customFormat="1" ht="64.8" customHeight="1">
      <c r="A432" s="984"/>
      <c r="B432" s="972"/>
      <c r="C432" s="986"/>
      <c r="D432" s="438"/>
      <c r="E432" s="957" t="s">
        <v>457</v>
      </c>
      <c r="F432" s="958"/>
      <c r="G432" s="958"/>
      <c r="H432" s="958">
        <v>0</v>
      </c>
      <c r="I432" s="973"/>
      <c r="J432" s="973"/>
      <c r="K432" s="529"/>
      <c r="L432" s="958"/>
      <c r="M432" s="958"/>
      <c r="N432" s="983">
        <v>0</v>
      </c>
      <c r="O432" s="981"/>
      <c r="P432" s="772"/>
      <c r="Q432" s="812"/>
      <c r="R432" s="953"/>
    </row>
    <row r="433" spans="1:18" s="440" customFormat="1" ht="47.25" customHeight="1">
      <c r="A433" s="984"/>
      <c r="B433" s="972"/>
      <c r="C433" s="986"/>
      <c r="D433" s="438"/>
      <c r="E433" s="957" t="s">
        <v>458</v>
      </c>
      <c r="F433" s="961"/>
      <c r="G433" s="961"/>
      <c r="H433" s="958">
        <v>32231.32</v>
      </c>
      <c r="I433" s="973"/>
      <c r="J433" s="973"/>
      <c r="K433" s="529"/>
      <c r="L433" s="961"/>
      <c r="M433" s="961"/>
      <c r="N433" s="983">
        <v>27123.05</v>
      </c>
      <c r="O433" s="981"/>
      <c r="P433" s="772"/>
      <c r="Q433" s="812"/>
      <c r="R433" s="953"/>
    </row>
    <row r="434" spans="1:18" s="440" customFormat="1" ht="47.25" customHeight="1">
      <c r="A434" s="984"/>
      <c r="B434" s="972"/>
      <c r="C434" s="986"/>
      <c r="D434" s="438"/>
      <c r="E434" s="957" t="s">
        <v>459</v>
      </c>
      <c r="F434" s="961"/>
      <c r="G434" s="961"/>
      <c r="H434" s="958">
        <v>0</v>
      </c>
      <c r="I434" s="973"/>
      <c r="J434" s="973"/>
      <c r="K434" s="529"/>
      <c r="L434" s="961"/>
      <c r="M434" s="961"/>
      <c r="N434" s="983">
        <v>4430.96</v>
      </c>
      <c r="O434" s="981"/>
      <c r="P434" s="772"/>
      <c r="Q434" s="812"/>
      <c r="R434" s="953"/>
    </row>
    <row r="435" spans="1:18" s="440" customFormat="1" ht="47.25" customHeight="1">
      <c r="A435" s="984"/>
      <c r="B435" s="972"/>
      <c r="C435" s="986"/>
      <c r="D435" s="438"/>
      <c r="E435" s="957" t="s">
        <v>460</v>
      </c>
      <c r="F435" s="961"/>
      <c r="G435" s="961"/>
      <c r="H435" s="958">
        <v>692</v>
      </c>
      <c r="I435" s="973"/>
      <c r="J435" s="973"/>
      <c r="K435" s="529"/>
      <c r="L435" s="961"/>
      <c r="M435" s="961"/>
      <c r="N435" s="983">
        <v>0</v>
      </c>
      <c r="O435" s="981"/>
      <c r="P435" s="772"/>
      <c r="Q435" s="812"/>
      <c r="R435" s="953"/>
    </row>
    <row r="436" spans="1:18" s="440" customFormat="1" ht="47.25" customHeight="1">
      <c r="A436" s="984"/>
      <c r="B436" s="972"/>
      <c r="C436" s="986"/>
      <c r="D436" s="438"/>
      <c r="E436" s="957" t="s">
        <v>461</v>
      </c>
      <c r="F436" s="961"/>
      <c r="G436" s="961"/>
      <c r="H436" s="958">
        <v>35817</v>
      </c>
      <c r="I436" s="973"/>
      <c r="J436" s="973"/>
      <c r="K436" s="529"/>
      <c r="L436" s="961"/>
      <c r="M436" s="961"/>
      <c r="N436" s="983">
        <v>25481</v>
      </c>
      <c r="O436" s="981"/>
      <c r="P436" s="772"/>
      <c r="Q436" s="812"/>
      <c r="R436" s="953"/>
    </row>
    <row r="437" spans="1:18" s="440" customFormat="1" ht="47.25" customHeight="1">
      <c r="A437" s="984"/>
      <c r="B437" s="972"/>
      <c r="C437" s="986"/>
      <c r="D437" s="438"/>
      <c r="E437" s="957" t="s">
        <v>462</v>
      </c>
      <c r="F437" s="961"/>
      <c r="G437" s="961"/>
      <c r="H437" s="958">
        <v>0</v>
      </c>
      <c r="I437" s="973"/>
      <c r="J437" s="973"/>
      <c r="K437" s="529"/>
      <c r="L437" s="961"/>
      <c r="M437" s="961"/>
      <c r="N437" s="983">
        <v>0</v>
      </c>
      <c r="O437" s="981"/>
      <c r="P437" s="772"/>
      <c r="Q437" s="812"/>
      <c r="R437" s="953"/>
    </row>
    <row r="438" spans="1:18" s="440" customFormat="1" ht="60.6" customHeight="1">
      <c r="A438" s="984"/>
      <c r="B438" s="972"/>
      <c r="C438" s="986"/>
      <c r="D438" s="438"/>
      <c r="E438" s="957" t="s">
        <v>463</v>
      </c>
      <c r="F438" s="961"/>
      <c r="G438" s="961"/>
      <c r="H438" s="958">
        <v>0</v>
      </c>
      <c r="I438" s="973"/>
      <c r="J438" s="973"/>
      <c r="K438" s="529"/>
      <c r="L438" s="961"/>
      <c r="M438" s="961"/>
      <c r="N438" s="983">
        <v>998</v>
      </c>
      <c r="O438" s="981"/>
      <c r="P438" s="772"/>
      <c r="Q438" s="812"/>
      <c r="R438" s="953"/>
    </row>
    <row r="439" spans="1:18" s="440" customFormat="1" ht="47.25" customHeight="1">
      <c r="A439" s="984"/>
      <c r="B439" s="972"/>
      <c r="C439" s="986"/>
      <c r="D439" s="438"/>
      <c r="E439" s="957" t="s">
        <v>464</v>
      </c>
      <c r="F439" s="961"/>
      <c r="G439" s="961"/>
      <c r="H439" s="958">
        <v>0</v>
      </c>
      <c r="I439" s="973"/>
      <c r="J439" s="973"/>
      <c r="K439" s="529"/>
      <c r="L439" s="961"/>
      <c r="M439" s="961"/>
      <c r="N439" s="983">
        <v>0</v>
      </c>
      <c r="O439" s="981"/>
      <c r="P439" s="772"/>
      <c r="Q439" s="812"/>
      <c r="R439" s="953"/>
    </row>
    <row r="440" spans="1:18" s="440" customFormat="1" ht="47.25" customHeight="1">
      <c r="A440" s="984"/>
      <c r="B440" s="972"/>
      <c r="C440" s="986"/>
      <c r="D440" s="438"/>
      <c r="E440" s="957" t="s">
        <v>465</v>
      </c>
      <c r="F440" s="961"/>
      <c r="G440" s="961"/>
      <c r="H440" s="958">
        <v>0</v>
      </c>
      <c r="I440" s="973"/>
      <c r="J440" s="973"/>
      <c r="K440" s="529"/>
      <c r="L440" s="961"/>
      <c r="M440" s="961"/>
      <c r="N440" s="983">
        <v>40</v>
      </c>
      <c r="O440" s="981"/>
      <c r="P440" s="772"/>
      <c r="Q440" s="812"/>
      <c r="R440" s="953"/>
    </row>
    <row r="441" spans="1:18" s="440" customFormat="1" ht="47.25" customHeight="1">
      <c r="A441" s="984"/>
      <c r="B441" s="972"/>
      <c r="C441" s="450"/>
      <c r="D441" s="438"/>
      <c r="E441" s="957" t="s">
        <v>466</v>
      </c>
      <c r="F441" s="961"/>
      <c r="G441" s="961"/>
      <c r="H441" s="958">
        <v>1674.81</v>
      </c>
      <c r="I441" s="973"/>
      <c r="J441" s="973"/>
      <c r="K441" s="529"/>
      <c r="L441" s="961"/>
      <c r="M441" s="961"/>
      <c r="N441" s="983">
        <v>758.43</v>
      </c>
      <c r="O441" s="981"/>
      <c r="P441" s="772"/>
      <c r="Q441" s="812"/>
      <c r="R441" s="953"/>
    </row>
    <row r="442" spans="1:18" s="440" customFormat="1" ht="57" customHeight="1">
      <c r="A442" s="984"/>
      <c r="B442" s="972"/>
      <c r="C442" s="986"/>
      <c r="D442" s="438"/>
      <c r="E442" s="945" t="s">
        <v>467</v>
      </c>
      <c r="F442" s="949">
        <v>117300</v>
      </c>
      <c r="G442" s="949">
        <v>111778</v>
      </c>
      <c r="H442" s="949">
        <v>74715.13</v>
      </c>
      <c r="I442" s="973"/>
      <c r="J442" s="973"/>
      <c r="K442" s="529"/>
      <c r="L442" s="949">
        <v>0</v>
      </c>
      <c r="M442" s="949">
        <v>0</v>
      </c>
      <c r="N442" s="949">
        <v>0</v>
      </c>
      <c r="O442" s="978">
        <v>0</v>
      </c>
      <c r="P442" s="772" t="s">
        <v>395</v>
      </c>
      <c r="Q442" s="812"/>
      <c r="R442" s="953"/>
    </row>
    <row r="443" spans="1:18" s="435" customFormat="1" ht="47.25" customHeight="1">
      <c r="A443" s="433"/>
      <c r="B443" s="420"/>
      <c r="C443" s="453">
        <v>4</v>
      </c>
      <c r="D443" s="454"/>
      <c r="E443" s="178" t="s">
        <v>283</v>
      </c>
      <c r="F443" s="455"/>
      <c r="G443" s="480"/>
      <c r="H443" s="455"/>
      <c r="I443" s="480"/>
      <c r="J443" s="455"/>
      <c r="K443" s="470">
        <v>683000</v>
      </c>
      <c r="L443" s="452">
        <f>L444+L463+L485</f>
        <v>683000</v>
      </c>
      <c r="M443" s="452">
        <f t="shared" ref="M443:N443" si="69">M444+M463+M485</f>
        <v>698000</v>
      </c>
      <c r="N443" s="452">
        <f t="shared" si="69"/>
        <v>451418.95</v>
      </c>
      <c r="O443" s="873">
        <f>N443/M443</f>
        <v>0.64673202005730657</v>
      </c>
      <c r="P443" s="784" t="s">
        <v>395</v>
      </c>
      <c r="Q443" s="668"/>
    </row>
    <row r="444" spans="1:18" s="431" customFormat="1" ht="39.9" customHeight="1">
      <c r="A444" s="987"/>
      <c r="B444" s="944"/>
      <c r="C444" s="458"/>
      <c r="D444" s="444"/>
      <c r="E444" s="945" t="s">
        <v>412</v>
      </c>
      <c r="F444" s="976"/>
      <c r="G444" s="946"/>
      <c r="H444" s="946"/>
      <c r="I444" s="946"/>
      <c r="J444" s="947"/>
      <c r="K444" s="948"/>
      <c r="L444" s="949">
        <v>614000</v>
      </c>
      <c r="M444" s="949">
        <v>614000</v>
      </c>
      <c r="N444" s="977">
        <f>SUM(N446:N462)</f>
        <v>387337.37</v>
      </c>
      <c r="O444" s="978">
        <f>N444/M444</f>
        <v>0.63084262214983711</v>
      </c>
      <c r="P444" s="780" t="s">
        <v>395</v>
      </c>
      <c r="Q444" s="908"/>
      <c r="R444" s="951"/>
    </row>
    <row r="445" spans="1:18" s="440" customFormat="1" ht="34.5" customHeight="1">
      <c r="A445" s="984"/>
      <c r="B445" s="972"/>
      <c r="C445" s="450"/>
      <c r="D445" s="438"/>
      <c r="E445" s="952" t="s">
        <v>13</v>
      </c>
      <c r="F445" s="985"/>
      <c r="G445" s="973"/>
      <c r="H445" s="973"/>
      <c r="I445" s="973"/>
      <c r="J445" s="973"/>
      <c r="K445" s="383"/>
      <c r="L445" s="980"/>
      <c r="M445" s="980"/>
      <c r="N445" s="980"/>
      <c r="O445" s="981"/>
      <c r="P445" s="772"/>
      <c r="Q445" s="812"/>
      <c r="R445" s="953"/>
    </row>
    <row r="446" spans="1:18" s="440" customFormat="1" ht="36" customHeight="1">
      <c r="A446" s="984"/>
      <c r="B446" s="972"/>
      <c r="C446" s="450"/>
      <c r="D446" s="425"/>
      <c r="E446" s="954" t="s">
        <v>577</v>
      </c>
      <c r="F446" s="985"/>
      <c r="G446" s="973"/>
      <c r="H446" s="973"/>
      <c r="I446" s="973"/>
      <c r="J446" s="973"/>
      <c r="K446" s="383"/>
      <c r="L446" s="955"/>
      <c r="M446" s="955"/>
      <c r="N446" s="983">
        <v>216350.44</v>
      </c>
      <c r="O446" s="981"/>
      <c r="P446" s="772"/>
      <c r="Q446" s="812"/>
      <c r="R446" s="953"/>
    </row>
    <row r="447" spans="1:18" s="440" customFormat="1" ht="57" customHeight="1">
      <c r="A447" s="984"/>
      <c r="B447" s="972"/>
      <c r="C447" s="450"/>
      <c r="D447" s="438"/>
      <c r="E447" s="954" t="s">
        <v>478</v>
      </c>
      <c r="F447" s="985"/>
      <c r="G447" s="973"/>
      <c r="H447" s="973"/>
      <c r="I447" s="973"/>
      <c r="J447" s="973"/>
      <c r="K447" s="383"/>
      <c r="L447" s="955"/>
      <c r="M447" s="955"/>
      <c r="N447" s="983">
        <v>0</v>
      </c>
      <c r="O447" s="981"/>
      <c r="P447" s="772"/>
      <c r="Q447" s="812"/>
      <c r="R447" s="953"/>
    </row>
    <row r="448" spans="1:18" s="440" customFormat="1" ht="57" customHeight="1">
      <c r="A448" s="984"/>
      <c r="B448" s="972"/>
      <c r="C448" s="450"/>
      <c r="D448" s="438"/>
      <c r="E448" s="954" t="s">
        <v>578</v>
      </c>
      <c r="F448" s="985"/>
      <c r="G448" s="973"/>
      <c r="H448" s="973"/>
      <c r="I448" s="973"/>
      <c r="J448" s="973"/>
      <c r="K448" s="383"/>
      <c r="L448" s="955"/>
      <c r="M448" s="955"/>
      <c r="N448" s="983">
        <v>4854.67</v>
      </c>
      <c r="O448" s="981"/>
      <c r="P448" s="772"/>
      <c r="Q448" s="812"/>
      <c r="R448" s="953"/>
    </row>
    <row r="449" spans="1:18" s="440" customFormat="1" ht="36" customHeight="1">
      <c r="A449" s="984"/>
      <c r="B449" s="972"/>
      <c r="C449" s="450"/>
      <c r="D449" s="438"/>
      <c r="E449" s="954" t="s">
        <v>579</v>
      </c>
      <c r="F449" s="985"/>
      <c r="G449" s="973"/>
      <c r="H449" s="973"/>
      <c r="I449" s="973"/>
      <c r="J449" s="973"/>
      <c r="K449" s="383"/>
      <c r="L449" s="955"/>
      <c r="M449" s="955"/>
      <c r="N449" s="983">
        <v>1866.99</v>
      </c>
      <c r="O449" s="981"/>
      <c r="P449" s="772"/>
      <c r="Q449" s="812"/>
      <c r="R449" s="953"/>
    </row>
    <row r="450" spans="1:18" s="440" customFormat="1" ht="36" customHeight="1">
      <c r="A450" s="984"/>
      <c r="B450" s="972"/>
      <c r="C450" s="450"/>
      <c r="D450" s="438"/>
      <c r="E450" s="954" t="s">
        <v>534</v>
      </c>
      <c r="F450" s="985"/>
      <c r="G450" s="973"/>
      <c r="H450" s="973"/>
      <c r="I450" s="973"/>
      <c r="J450" s="973"/>
      <c r="K450" s="383"/>
      <c r="L450" s="955"/>
      <c r="M450" s="955"/>
      <c r="N450" s="983">
        <v>0</v>
      </c>
      <c r="O450" s="981"/>
      <c r="P450" s="772"/>
      <c r="Q450" s="812"/>
      <c r="R450" s="953"/>
    </row>
    <row r="451" spans="1:18" s="440" customFormat="1" ht="36" customHeight="1">
      <c r="A451" s="984"/>
      <c r="B451" s="972"/>
      <c r="C451" s="450"/>
      <c r="D451" s="438"/>
      <c r="E451" s="954" t="s">
        <v>437</v>
      </c>
      <c r="F451" s="985"/>
      <c r="G451" s="973"/>
      <c r="H451" s="973"/>
      <c r="I451" s="973"/>
      <c r="J451" s="973"/>
      <c r="K451" s="383"/>
      <c r="L451" s="955"/>
      <c r="M451" s="955"/>
      <c r="N451" s="983">
        <v>0</v>
      </c>
      <c r="O451" s="981"/>
      <c r="P451" s="772"/>
      <c r="Q451" s="812"/>
      <c r="R451" s="953"/>
    </row>
    <row r="452" spans="1:18" s="440" customFormat="1" ht="36" customHeight="1">
      <c r="A452" s="984"/>
      <c r="B452" s="972"/>
      <c r="C452" s="450"/>
      <c r="D452" s="438"/>
      <c r="E452" s="954" t="s">
        <v>438</v>
      </c>
      <c r="F452" s="985"/>
      <c r="G452" s="973"/>
      <c r="H452" s="973"/>
      <c r="I452" s="973"/>
      <c r="J452" s="973"/>
      <c r="K452" s="383"/>
      <c r="L452" s="955"/>
      <c r="M452" s="955"/>
      <c r="N452" s="983">
        <v>0</v>
      </c>
      <c r="O452" s="981"/>
      <c r="P452" s="772"/>
      <c r="Q452" s="812"/>
      <c r="R452" s="953"/>
    </row>
    <row r="453" spans="1:18" s="440" customFormat="1" ht="36" customHeight="1">
      <c r="A453" s="984"/>
      <c r="B453" s="972"/>
      <c r="C453" s="450"/>
      <c r="D453" s="438"/>
      <c r="E453" s="954" t="s">
        <v>539</v>
      </c>
      <c r="F453" s="985"/>
      <c r="G453" s="973"/>
      <c r="H453" s="973"/>
      <c r="I453" s="973"/>
      <c r="J453" s="973"/>
      <c r="K453" s="383"/>
      <c r="L453" s="955"/>
      <c r="M453" s="955"/>
      <c r="N453" s="983">
        <v>794.89</v>
      </c>
      <c r="O453" s="981"/>
      <c r="P453" s="772"/>
      <c r="Q453" s="812"/>
      <c r="R453" s="953"/>
    </row>
    <row r="454" spans="1:18" s="440" customFormat="1" ht="36" customHeight="1">
      <c r="A454" s="984"/>
      <c r="B454" s="972"/>
      <c r="C454" s="450"/>
      <c r="D454" s="438"/>
      <c r="E454" s="954" t="s">
        <v>439</v>
      </c>
      <c r="F454" s="985"/>
      <c r="G454" s="973"/>
      <c r="H454" s="973"/>
      <c r="I454" s="973"/>
      <c r="J454" s="973"/>
      <c r="K454" s="383"/>
      <c r="L454" s="955"/>
      <c r="M454" s="955"/>
      <c r="N454" s="983">
        <v>0</v>
      </c>
      <c r="O454" s="981"/>
      <c r="P454" s="772"/>
      <c r="Q454" s="812"/>
      <c r="R454" s="953"/>
    </row>
    <row r="455" spans="1:18" s="440" customFormat="1" ht="36" customHeight="1">
      <c r="A455" s="984"/>
      <c r="B455" s="972"/>
      <c r="C455" s="450"/>
      <c r="D455" s="438"/>
      <c r="E455" s="954" t="s">
        <v>440</v>
      </c>
      <c r="F455" s="985"/>
      <c r="G455" s="973"/>
      <c r="H455" s="973"/>
      <c r="I455" s="973"/>
      <c r="J455" s="973"/>
      <c r="K455" s="383"/>
      <c r="L455" s="955"/>
      <c r="M455" s="955"/>
      <c r="N455" s="983">
        <v>0</v>
      </c>
      <c r="O455" s="981"/>
      <c r="P455" s="772"/>
      <c r="Q455" s="812"/>
      <c r="R455" s="953"/>
    </row>
    <row r="456" spans="1:18" s="440" customFormat="1" ht="36" customHeight="1">
      <c r="A456" s="984"/>
      <c r="B456" s="972"/>
      <c r="C456" s="450"/>
      <c r="D456" s="438"/>
      <c r="E456" s="954" t="s">
        <v>441</v>
      </c>
      <c r="F456" s="985"/>
      <c r="G456" s="973"/>
      <c r="H456" s="973"/>
      <c r="I456" s="973"/>
      <c r="J456" s="973"/>
      <c r="K456" s="383"/>
      <c r="L456" s="955"/>
      <c r="M456" s="955"/>
      <c r="N456" s="983">
        <v>0</v>
      </c>
      <c r="O456" s="981"/>
      <c r="P456" s="772"/>
      <c r="Q456" s="812"/>
      <c r="R456" s="953"/>
    </row>
    <row r="457" spans="1:18" s="440" customFormat="1" ht="57" customHeight="1">
      <c r="A457" s="984"/>
      <c r="B457" s="972"/>
      <c r="C457" s="450"/>
      <c r="D457" s="438"/>
      <c r="E457" s="954" t="s">
        <v>540</v>
      </c>
      <c r="F457" s="985"/>
      <c r="G457" s="973"/>
      <c r="H457" s="973"/>
      <c r="I457" s="973"/>
      <c r="J457" s="973"/>
      <c r="K457" s="383"/>
      <c r="L457" s="955"/>
      <c r="M457" s="955"/>
      <c r="N457" s="983">
        <v>60394.76</v>
      </c>
      <c r="O457" s="981"/>
      <c r="P457" s="772"/>
      <c r="Q457" s="812"/>
      <c r="R457" s="953"/>
    </row>
    <row r="458" spans="1:18" s="440" customFormat="1" ht="36" customHeight="1">
      <c r="A458" s="984"/>
      <c r="B458" s="972"/>
      <c r="C458" s="450"/>
      <c r="D458" s="438"/>
      <c r="E458" s="954" t="s">
        <v>442</v>
      </c>
      <c r="F458" s="985"/>
      <c r="G458" s="973"/>
      <c r="H458" s="973"/>
      <c r="I458" s="973"/>
      <c r="J458" s="973"/>
      <c r="K458" s="383"/>
      <c r="L458" s="955"/>
      <c r="M458" s="955"/>
      <c r="N458" s="983">
        <v>0</v>
      </c>
      <c r="O458" s="981"/>
      <c r="P458" s="772"/>
      <c r="Q458" s="812"/>
      <c r="R458" s="953"/>
    </row>
    <row r="459" spans="1:18" s="440" customFormat="1" ht="36" customHeight="1">
      <c r="A459" s="984"/>
      <c r="B459" s="972"/>
      <c r="C459" s="450"/>
      <c r="D459" s="438"/>
      <c r="E459" s="954" t="s">
        <v>443</v>
      </c>
      <c r="F459" s="985"/>
      <c r="G459" s="973"/>
      <c r="H459" s="973"/>
      <c r="I459" s="973"/>
      <c r="J459" s="973"/>
      <c r="K459" s="383"/>
      <c r="L459" s="955"/>
      <c r="M459" s="955"/>
      <c r="N459" s="983">
        <v>39260.519999999997</v>
      </c>
      <c r="O459" s="981"/>
      <c r="P459" s="772"/>
      <c r="Q459" s="812"/>
      <c r="R459" s="953"/>
    </row>
    <row r="460" spans="1:18" s="440" customFormat="1" ht="36" customHeight="1">
      <c r="A460" s="984"/>
      <c r="B460" s="972"/>
      <c r="C460" s="450"/>
      <c r="D460" s="438"/>
      <c r="E460" s="954" t="s">
        <v>485</v>
      </c>
      <c r="F460" s="985"/>
      <c r="G460" s="973"/>
      <c r="H460" s="973"/>
      <c r="I460" s="973"/>
      <c r="J460" s="973"/>
      <c r="K460" s="383"/>
      <c r="L460" s="955"/>
      <c r="M460" s="955"/>
      <c r="N460" s="983">
        <v>0</v>
      </c>
      <c r="O460" s="981"/>
      <c r="P460" s="772"/>
      <c r="Q460" s="812"/>
      <c r="R460" s="953"/>
    </row>
    <row r="461" spans="1:18" s="440" customFormat="1" ht="36" customHeight="1">
      <c r="A461" s="984"/>
      <c r="B461" s="972"/>
      <c r="C461" s="450"/>
      <c r="D461" s="438"/>
      <c r="E461" s="954" t="s">
        <v>580</v>
      </c>
      <c r="F461" s="985"/>
      <c r="G461" s="973"/>
      <c r="H461" s="973"/>
      <c r="I461" s="973"/>
      <c r="J461" s="973"/>
      <c r="K461" s="383"/>
      <c r="L461" s="955"/>
      <c r="M461" s="955"/>
      <c r="N461" s="983">
        <v>1813.82</v>
      </c>
      <c r="O461" s="981"/>
      <c r="P461" s="772"/>
      <c r="Q461" s="812"/>
      <c r="R461" s="953"/>
    </row>
    <row r="462" spans="1:18" s="440" customFormat="1" ht="36" customHeight="1">
      <c r="A462" s="984"/>
      <c r="B462" s="972"/>
      <c r="C462" s="450"/>
      <c r="D462" s="438"/>
      <c r="E462" s="954" t="s">
        <v>446</v>
      </c>
      <c r="F462" s="985"/>
      <c r="G462" s="973"/>
      <c r="H462" s="973"/>
      <c r="I462" s="973"/>
      <c r="J462" s="973"/>
      <c r="K462" s="383"/>
      <c r="L462" s="955"/>
      <c r="M462" s="955"/>
      <c r="N462" s="983">
        <v>62001.279999999999</v>
      </c>
      <c r="O462" s="981"/>
      <c r="P462" s="772"/>
      <c r="Q462" s="812"/>
      <c r="R462" s="953"/>
    </row>
    <row r="463" spans="1:18" s="440" customFormat="1" ht="48.75" customHeight="1">
      <c r="A463" s="984"/>
      <c r="B463" s="972"/>
      <c r="C463" s="986"/>
      <c r="D463" s="438"/>
      <c r="E463" s="945" t="s">
        <v>418</v>
      </c>
      <c r="F463" s="949">
        <v>117300</v>
      </c>
      <c r="G463" s="949">
        <v>111778</v>
      </c>
      <c r="H463" s="949">
        <v>74715.13</v>
      </c>
      <c r="I463" s="973"/>
      <c r="J463" s="973"/>
      <c r="K463" s="529"/>
      <c r="L463" s="949">
        <v>69000</v>
      </c>
      <c r="M463" s="949">
        <v>84000</v>
      </c>
      <c r="N463" s="977">
        <f>SUM(N464:N484)</f>
        <v>64081.58</v>
      </c>
      <c r="O463" s="978">
        <f>N463/M463</f>
        <v>0.7628759523809524</v>
      </c>
      <c r="P463" s="772" t="s">
        <v>395</v>
      </c>
      <c r="Q463" s="812"/>
      <c r="R463" s="953"/>
    </row>
    <row r="464" spans="1:18" s="440" customFormat="1" ht="58.5" customHeight="1">
      <c r="A464" s="984"/>
      <c r="B464" s="972"/>
      <c r="C464" s="986"/>
      <c r="D464" s="438"/>
      <c r="E464" s="957" t="s">
        <v>447</v>
      </c>
      <c r="F464" s="958"/>
      <c r="G464" s="958"/>
      <c r="H464" s="958">
        <v>0</v>
      </c>
      <c r="I464" s="973"/>
      <c r="J464" s="973"/>
      <c r="K464" s="529"/>
      <c r="L464" s="958"/>
      <c r="M464" s="958"/>
      <c r="N464" s="983">
        <v>2408.54</v>
      </c>
      <c r="O464" s="981"/>
      <c r="P464" s="772"/>
      <c r="Q464" s="812"/>
      <c r="R464" s="953"/>
    </row>
    <row r="465" spans="1:18" s="440" customFormat="1" ht="36" customHeight="1">
      <c r="A465" s="984"/>
      <c r="B465" s="972"/>
      <c r="C465" s="986"/>
      <c r="D465" s="438"/>
      <c r="E465" s="957" t="s">
        <v>448</v>
      </c>
      <c r="F465" s="958"/>
      <c r="G465" s="958"/>
      <c r="H465" s="958">
        <v>0</v>
      </c>
      <c r="I465" s="973"/>
      <c r="J465" s="973"/>
      <c r="K465" s="529"/>
      <c r="L465" s="958"/>
      <c r="M465" s="958"/>
      <c r="N465" s="983">
        <v>0</v>
      </c>
      <c r="O465" s="981"/>
      <c r="P465" s="772"/>
      <c r="Q465" s="812"/>
      <c r="R465" s="953"/>
    </row>
    <row r="466" spans="1:18" s="440" customFormat="1" ht="36" customHeight="1">
      <c r="A466" s="984"/>
      <c r="B466" s="972"/>
      <c r="C466" s="986"/>
      <c r="D466" s="438"/>
      <c r="E466" s="957" t="s">
        <v>449</v>
      </c>
      <c r="F466" s="958"/>
      <c r="G466" s="958"/>
      <c r="H466" s="958">
        <v>0</v>
      </c>
      <c r="I466" s="973"/>
      <c r="J466" s="973"/>
      <c r="K466" s="529"/>
      <c r="L466" s="958"/>
      <c r="M466" s="958"/>
      <c r="N466" s="983">
        <v>0</v>
      </c>
      <c r="O466" s="981"/>
      <c r="P466" s="772"/>
      <c r="Q466" s="812"/>
      <c r="R466" s="953"/>
    </row>
    <row r="467" spans="1:18" s="440" customFormat="1" ht="36" customHeight="1">
      <c r="A467" s="984"/>
      <c r="B467" s="972"/>
      <c r="C467" s="986"/>
      <c r="D467" s="438"/>
      <c r="E467" s="957" t="s">
        <v>450</v>
      </c>
      <c r="F467" s="958"/>
      <c r="G467" s="958"/>
      <c r="H467" s="958">
        <v>0</v>
      </c>
      <c r="I467" s="973"/>
      <c r="J467" s="973"/>
      <c r="K467" s="529"/>
      <c r="L467" s="958"/>
      <c r="M467" s="958"/>
      <c r="N467" s="983">
        <v>0</v>
      </c>
      <c r="O467" s="981"/>
      <c r="P467" s="772"/>
      <c r="Q467" s="812"/>
      <c r="R467" s="953"/>
    </row>
    <row r="468" spans="1:18" s="440" customFormat="1" ht="36" customHeight="1">
      <c r="A468" s="984"/>
      <c r="B468" s="972"/>
      <c r="C468" s="986"/>
      <c r="D468" s="438"/>
      <c r="E468" s="957" t="s">
        <v>451</v>
      </c>
      <c r="F468" s="958"/>
      <c r="G468" s="958"/>
      <c r="H468" s="958">
        <v>0</v>
      </c>
      <c r="I468" s="973"/>
      <c r="J468" s="973"/>
      <c r="K468" s="529"/>
      <c r="L468" s="958"/>
      <c r="M468" s="958"/>
      <c r="N468" s="983">
        <v>0</v>
      </c>
      <c r="O468" s="981"/>
      <c r="P468" s="772"/>
      <c r="Q468" s="812"/>
      <c r="R468" s="953"/>
    </row>
    <row r="469" spans="1:18" s="440" customFormat="1" ht="39.75" customHeight="1">
      <c r="A469" s="984"/>
      <c r="B469" s="972"/>
      <c r="C469" s="986"/>
      <c r="D469" s="438"/>
      <c r="E469" s="960" t="s">
        <v>486</v>
      </c>
      <c r="F469" s="958"/>
      <c r="G469" s="958"/>
      <c r="H469" s="958">
        <v>4300</v>
      </c>
      <c r="I469" s="973"/>
      <c r="J469" s="973"/>
      <c r="K469" s="529"/>
      <c r="L469" s="958"/>
      <c r="M469" s="958"/>
      <c r="N469" s="983">
        <v>0</v>
      </c>
      <c r="O469" s="981"/>
      <c r="P469" s="772"/>
      <c r="Q469" s="812"/>
      <c r="R469" s="953"/>
    </row>
    <row r="470" spans="1:18" s="440" customFormat="1" ht="78" customHeight="1">
      <c r="A470" s="984"/>
      <c r="B470" s="972"/>
      <c r="C470" s="986"/>
      <c r="D470" s="438"/>
      <c r="E470" s="957" t="s">
        <v>452</v>
      </c>
      <c r="F470" s="958"/>
      <c r="G470" s="958"/>
      <c r="H470" s="958">
        <v>0</v>
      </c>
      <c r="I470" s="973"/>
      <c r="J470" s="973"/>
      <c r="K470" s="529"/>
      <c r="L470" s="958"/>
      <c r="M470" s="958"/>
      <c r="N470" s="983">
        <v>0</v>
      </c>
      <c r="O470" s="981"/>
      <c r="P470" s="772"/>
      <c r="Q470" s="812"/>
      <c r="R470" s="953"/>
    </row>
    <row r="471" spans="1:18" s="440" customFormat="1" ht="51" customHeight="1">
      <c r="A471" s="984"/>
      <c r="B471" s="972"/>
      <c r="C471" s="986"/>
      <c r="D471" s="438"/>
      <c r="E471" s="957" t="s">
        <v>453</v>
      </c>
      <c r="F471" s="958"/>
      <c r="G471" s="958"/>
      <c r="H471" s="958">
        <v>0</v>
      </c>
      <c r="I471" s="973"/>
      <c r="J471" s="973"/>
      <c r="K471" s="529"/>
      <c r="L471" s="958"/>
      <c r="M471" s="958"/>
      <c r="N471" s="983">
        <v>0</v>
      </c>
      <c r="O471" s="981"/>
      <c r="P471" s="772"/>
      <c r="Q471" s="812"/>
      <c r="R471" s="953"/>
    </row>
    <row r="472" spans="1:18" s="440" customFormat="1" ht="37.5" customHeight="1">
      <c r="A472" s="984"/>
      <c r="B472" s="972"/>
      <c r="C472" s="986"/>
      <c r="D472" s="438"/>
      <c r="E472" s="957" t="s">
        <v>454</v>
      </c>
      <c r="F472" s="958"/>
      <c r="G472" s="958"/>
      <c r="H472" s="958">
        <v>0</v>
      </c>
      <c r="I472" s="973"/>
      <c r="J472" s="973"/>
      <c r="K472" s="529"/>
      <c r="L472" s="958"/>
      <c r="M472" s="958"/>
      <c r="N472" s="983">
        <v>1463.76</v>
      </c>
      <c r="O472" s="981"/>
      <c r="P472" s="772"/>
      <c r="Q472" s="812"/>
      <c r="R472" s="953"/>
    </row>
    <row r="473" spans="1:18" s="440" customFormat="1" ht="54.75" customHeight="1">
      <c r="A473" s="984"/>
      <c r="B473" s="972"/>
      <c r="C473" s="986"/>
      <c r="D473" s="438"/>
      <c r="E473" s="957" t="s">
        <v>455</v>
      </c>
      <c r="F473" s="958"/>
      <c r="G473" s="958"/>
      <c r="H473" s="958">
        <v>0</v>
      </c>
      <c r="I473" s="973"/>
      <c r="J473" s="973"/>
      <c r="K473" s="529"/>
      <c r="L473" s="958"/>
      <c r="M473" s="958"/>
      <c r="N473" s="983">
        <v>0</v>
      </c>
      <c r="O473" s="981"/>
      <c r="P473" s="772"/>
      <c r="Q473" s="812"/>
      <c r="R473" s="953"/>
    </row>
    <row r="474" spans="1:18" s="440" customFormat="1" ht="41.25" customHeight="1">
      <c r="A474" s="984"/>
      <c r="B474" s="972"/>
      <c r="C474" s="986"/>
      <c r="D474" s="438"/>
      <c r="E474" s="957" t="s">
        <v>456</v>
      </c>
      <c r="F474" s="958"/>
      <c r="G474" s="958"/>
      <c r="H474" s="958">
        <v>0</v>
      </c>
      <c r="I474" s="973"/>
      <c r="J474" s="973"/>
      <c r="K474" s="529"/>
      <c r="L474" s="958"/>
      <c r="M474" s="958"/>
      <c r="N474" s="983">
        <v>123.9</v>
      </c>
      <c r="O474" s="981"/>
      <c r="P474" s="772"/>
      <c r="Q474" s="812"/>
      <c r="R474" s="953"/>
    </row>
    <row r="475" spans="1:18" s="440" customFormat="1" ht="57.6" customHeight="1">
      <c r="A475" s="984"/>
      <c r="B475" s="972"/>
      <c r="C475" s="986"/>
      <c r="D475" s="438"/>
      <c r="E475" s="957" t="s">
        <v>457</v>
      </c>
      <c r="F475" s="958"/>
      <c r="G475" s="958"/>
      <c r="H475" s="958">
        <v>0</v>
      </c>
      <c r="I475" s="973"/>
      <c r="J475" s="973"/>
      <c r="K475" s="529"/>
      <c r="L475" s="958"/>
      <c r="M475" s="958"/>
      <c r="N475" s="983">
        <v>0</v>
      </c>
      <c r="O475" s="981"/>
      <c r="P475" s="772"/>
      <c r="Q475" s="812"/>
      <c r="R475" s="953"/>
    </row>
    <row r="476" spans="1:18" s="440" customFormat="1" ht="39" customHeight="1">
      <c r="A476" s="984"/>
      <c r="B476" s="972"/>
      <c r="C476" s="986"/>
      <c r="D476" s="438"/>
      <c r="E476" s="957" t="s">
        <v>458</v>
      </c>
      <c r="F476" s="961"/>
      <c r="G476" s="961"/>
      <c r="H476" s="958">
        <v>32231.32</v>
      </c>
      <c r="I476" s="973"/>
      <c r="J476" s="973"/>
      <c r="K476" s="529"/>
      <c r="L476" s="961"/>
      <c r="M476" s="961"/>
      <c r="N476" s="983">
        <v>28692.2</v>
      </c>
      <c r="O476" s="981"/>
      <c r="P476" s="772"/>
      <c r="Q476" s="812"/>
      <c r="R476" s="953"/>
    </row>
    <row r="477" spans="1:18" s="440" customFormat="1" ht="39" customHeight="1">
      <c r="A477" s="984"/>
      <c r="B477" s="972"/>
      <c r="C477" s="986"/>
      <c r="D477" s="438"/>
      <c r="E477" s="957" t="s">
        <v>459</v>
      </c>
      <c r="F477" s="961"/>
      <c r="G477" s="961"/>
      <c r="H477" s="958">
        <v>0</v>
      </c>
      <c r="I477" s="973"/>
      <c r="J477" s="973"/>
      <c r="K477" s="529"/>
      <c r="L477" s="961"/>
      <c r="M477" s="961"/>
      <c r="N477" s="983">
        <v>3002.59</v>
      </c>
      <c r="O477" s="981"/>
      <c r="P477" s="772"/>
      <c r="Q477" s="812"/>
      <c r="R477" s="953"/>
    </row>
    <row r="478" spans="1:18" s="440" customFormat="1" ht="39" customHeight="1">
      <c r="A478" s="984"/>
      <c r="B478" s="972"/>
      <c r="C478" s="986"/>
      <c r="D478" s="438"/>
      <c r="E478" s="957" t="s">
        <v>460</v>
      </c>
      <c r="F478" s="961"/>
      <c r="G478" s="961"/>
      <c r="H478" s="958">
        <v>692</v>
      </c>
      <c r="I478" s="973"/>
      <c r="J478" s="973"/>
      <c r="K478" s="529"/>
      <c r="L478" s="961"/>
      <c r="M478" s="961"/>
      <c r="N478" s="983">
        <v>457.63</v>
      </c>
      <c r="O478" s="981"/>
      <c r="P478" s="772"/>
      <c r="Q478" s="812"/>
      <c r="R478" s="953"/>
    </row>
    <row r="479" spans="1:18" s="440" customFormat="1" ht="39" customHeight="1">
      <c r="A479" s="984"/>
      <c r="B479" s="972"/>
      <c r="C479" s="986"/>
      <c r="D479" s="438"/>
      <c r="E479" s="957" t="s">
        <v>461</v>
      </c>
      <c r="F479" s="961"/>
      <c r="G479" s="961"/>
      <c r="H479" s="958">
        <v>35817</v>
      </c>
      <c r="I479" s="973"/>
      <c r="J479" s="973"/>
      <c r="K479" s="529"/>
      <c r="L479" s="961"/>
      <c r="M479" s="961"/>
      <c r="N479" s="983">
        <v>26435</v>
      </c>
      <c r="O479" s="981"/>
      <c r="P479" s="772"/>
      <c r="Q479" s="812"/>
      <c r="R479" s="953"/>
    </row>
    <row r="480" spans="1:18" s="440" customFormat="1" ht="39" customHeight="1">
      <c r="A480" s="984"/>
      <c r="B480" s="972"/>
      <c r="C480" s="986"/>
      <c r="D480" s="438"/>
      <c r="E480" s="957" t="s">
        <v>462</v>
      </c>
      <c r="F480" s="961"/>
      <c r="G480" s="961"/>
      <c r="H480" s="958">
        <v>0</v>
      </c>
      <c r="I480" s="973"/>
      <c r="J480" s="973"/>
      <c r="K480" s="529"/>
      <c r="L480" s="961"/>
      <c r="M480" s="961"/>
      <c r="N480" s="983">
        <v>0</v>
      </c>
      <c r="O480" s="981"/>
      <c r="P480" s="772"/>
      <c r="Q480" s="812"/>
      <c r="R480" s="953"/>
    </row>
    <row r="481" spans="1:18" s="440" customFormat="1" ht="50.25" customHeight="1">
      <c r="A481" s="984"/>
      <c r="B481" s="972"/>
      <c r="C481" s="986"/>
      <c r="D481" s="438"/>
      <c r="E481" s="957" t="s">
        <v>463</v>
      </c>
      <c r="F481" s="961"/>
      <c r="G481" s="961"/>
      <c r="H481" s="958">
        <v>0</v>
      </c>
      <c r="I481" s="973"/>
      <c r="J481" s="973"/>
      <c r="K481" s="529"/>
      <c r="L481" s="961"/>
      <c r="M481" s="961"/>
      <c r="N481" s="983">
        <v>458.13</v>
      </c>
      <c r="O481" s="981"/>
      <c r="P481" s="772"/>
      <c r="Q481" s="812"/>
      <c r="R481" s="953"/>
    </row>
    <row r="482" spans="1:18" s="440" customFormat="1" ht="39" customHeight="1">
      <c r="A482" s="984"/>
      <c r="B482" s="972"/>
      <c r="C482" s="986"/>
      <c r="D482" s="438"/>
      <c r="E482" s="957" t="s">
        <v>464</v>
      </c>
      <c r="F482" s="961"/>
      <c r="G482" s="961"/>
      <c r="H482" s="958">
        <v>0</v>
      </c>
      <c r="I482" s="973"/>
      <c r="J482" s="973"/>
      <c r="K482" s="529"/>
      <c r="L482" s="961"/>
      <c r="M482" s="961"/>
      <c r="N482" s="983">
        <v>0</v>
      </c>
      <c r="O482" s="981"/>
      <c r="P482" s="772"/>
      <c r="Q482" s="812"/>
      <c r="R482" s="953"/>
    </row>
    <row r="483" spans="1:18" s="440" customFormat="1" ht="39" customHeight="1">
      <c r="A483" s="984"/>
      <c r="B483" s="972"/>
      <c r="C483" s="986"/>
      <c r="D483" s="438"/>
      <c r="E483" s="957" t="s">
        <v>465</v>
      </c>
      <c r="F483" s="961"/>
      <c r="G483" s="961"/>
      <c r="H483" s="958">
        <v>0</v>
      </c>
      <c r="I483" s="973"/>
      <c r="J483" s="973"/>
      <c r="K483" s="529"/>
      <c r="L483" s="961"/>
      <c r="M483" s="961"/>
      <c r="N483" s="983">
        <v>0</v>
      </c>
      <c r="O483" s="981"/>
      <c r="P483" s="772"/>
      <c r="Q483" s="812"/>
      <c r="R483" s="953"/>
    </row>
    <row r="484" spans="1:18" s="440" customFormat="1" ht="39" customHeight="1">
      <c r="A484" s="984"/>
      <c r="B484" s="972"/>
      <c r="C484" s="450"/>
      <c r="D484" s="438"/>
      <c r="E484" s="957" t="s">
        <v>466</v>
      </c>
      <c r="F484" s="961"/>
      <c r="G484" s="961"/>
      <c r="H484" s="958">
        <v>1674.81</v>
      </c>
      <c r="I484" s="973"/>
      <c r="J484" s="973"/>
      <c r="K484" s="529"/>
      <c r="L484" s="961"/>
      <c r="M484" s="961"/>
      <c r="N484" s="983">
        <v>1039.83</v>
      </c>
      <c r="O484" s="981"/>
      <c r="P484" s="772"/>
      <c r="Q484" s="812"/>
      <c r="R484" s="953"/>
    </row>
    <row r="485" spans="1:18" s="440" customFormat="1" ht="57" customHeight="1">
      <c r="A485" s="984"/>
      <c r="B485" s="972"/>
      <c r="C485" s="986"/>
      <c r="D485" s="438"/>
      <c r="E485" s="945" t="s">
        <v>467</v>
      </c>
      <c r="F485" s="949">
        <v>117300</v>
      </c>
      <c r="G485" s="949">
        <v>111778</v>
      </c>
      <c r="H485" s="949">
        <v>74715.13</v>
      </c>
      <c r="I485" s="973"/>
      <c r="J485" s="973"/>
      <c r="K485" s="529"/>
      <c r="L485" s="949">
        <v>0</v>
      </c>
      <c r="M485" s="949">
        <v>0</v>
      </c>
      <c r="N485" s="949">
        <v>0</v>
      </c>
      <c r="O485" s="978">
        <v>0</v>
      </c>
      <c r="P485" s="772" t="s">
        <v>395</v>
      </c>
      <c r="Q485" s="812"/>
      <c r="R485" s="953"/>
    </row>
    <row r="486" spans="1:18" s="440" customFormat="1" ht="140.25" customHeight="1">
      <c r="A486" s="424"/>
      <c r="B486" s="437"/>
      <c r="C486" s="566">
        <v>5</v>
      </c>
      <c r="D486" s="622"/>
      <c r="E486" s="604" t="s">
        <v>230</v>
      </c>
      <c r="F486" s="623"/>
      <c r="G486" s="624"/>
      <c r="H486" s="624"/>
      <c r="I486" s="624"/>
      <c r="J486" s="624"/>
      <c r="K486" s="567">
        <v>40000</v>
      </c>
      <c r="L486" s="567">
        <f>SUM(F486:K486)</f>
        <v>40000</v>
      </c>
      <c r="M486" s="567">
        <v>40000</v>
      </c>
      <c r="N486" s="567">
        <v>1366.11</v>
      </c>
      <c r="O486" s="840">
        <f>N486/M486</f>
        <v>3.4152749999999996E-2</v>
      </c>
      <c r="P486" s="785" t="s">
        <v>395</v>
      </c>
      <c r="Q486" s="656"/>
    </row>
    <row r="487" spans="1:18" s="434" customFormat="1" ht="140.25" customHeight="1">
      <c r="A487" s="559"/>
      <c r="B487" s="61"/>
      <c r="C487" s="453">
        <v>6</v>
      </c>
      <c r="D487" s="454"/>
      <c r="E487" s="562" t="s">
        <v>231</v>
      </c>
      <c r="F487" s="518"/>
      <c r="G487" s="277"/>
      <c r="H487" s="277"/>
      <c r="I487" s="277"/>
      <c r="J487" s="277"/>
      <c r="K487" s="451">
        <v>10000</v>
      </c>
      <c r="L487" s="451">
        <f>SUM(F487:K487)</f>
        <v>10000</v>
      </c>
      <c r="M487" s="451">
        <v>10000</v>
      </c>
      <c r="N487" s="451">
        <v>0</v>
      </c>
      <c r="O487" s="837">
        <v>0</v>
      </c>
      <c r="P487" s="785" t="s">
        <v>395</v>
      </c>
      <c r="Q487" s="651"/>
    </row>
    <row r="488" spans="1:18" s="76" customFormat="1" ht="63.75" customHeight="1">
      <c r="A488" s="573"/>
      <c r="B488" s="75">
        <v>80104</v>
      </c>
      <c r="C488" s="74"/>
      <c r="D488" s="73"/>
      <c r="E488" s="72" t="s">
        <v>61</v>
      </c>
      <c r="F488" s="409">
        <f>F489</f>
        <v>0</v>
      </c>
      <c r="G488" s="409">
        <f>G489</f>
        <v>0</v>
      </c>
      <c r="H488" s="409">
        <f>H489</f>
        <v>0</v>
      </c>
      <c r="I488" s="409">
        <f>I489</f>
        <v>0</v>
      </c>
      <c r="J488" s="409">
        <f>J489</f>
        <v>0</v>
      </c>
      <c r="K488" s="409" t="e">
        <f>K489+K664+K667+K668+K665+K666+#REF!</f>
        <v>#REF!</v>
      </c>
      <c r="L488" s="92">
        <f>L489+L664+L665+L666+L667+L668</f>
        <v>6596000</v>
      </c>
      <c r="M488" s="92">
        <f t="shared" ref="M488:N488" si="70">M489+M664+M665+M666+M667+M668</f>
        <v>6645323</v>
      </c>
      <c r="N488" s="92">
        <f t="shared" si="70"/>
        <v>3642163.8700000006</v>
      </c>
      <c r="O488" s="755">
        <f>N488/M488</f>
        <v>0.54807928373082848</v>
      </c>
      <c r="P488" s="764" t="s">
        <v>395</v>
      </c>
      <c r="Q488" s="650"/>
    </row>
    <row r="489" spans="1:18" s="286" customFormat="1" ht="50.1" customHeight="1">
      <c r="A489" s="433"/>
      <c r="B489" s="119"/>
      <c r="C489" s="60" t="s">
        <v>21</v>
      </c>
      <c r="D489" s="93"/>
      <c r="E489" s="96" t="s">
        <v>60</v>
      </c>
      <c r="F489" s="187"/>
      <c r="G489" s="432"/>
      <c r="H489" s="432"/>
      <c r="I489" s="432"/>
      <c r="J489" s="432"/>
      <c r="K489" s="432" t="e">
        <f>K490+#REF!+K578+#REF!</f>
        <v>#REF!</v>
      </c>
      <c r="L489" s="432">
        <f>L490+L534+L578+L621</f>
        <v>5446000</v>
      </c>
      <c r="M489" s="432">
        <f t="shared" ref="M489:N489" si="71">M490+M534+M578+M621</f>
        <v>5454323</v>
      </c>
      <c r="N489" s="432">
        <f t="shared" si="71"/>
        <v>3134849</v>
      </c>
      <c r="O489" s="819">
        <f>N489/M489</f>
        <v>0.57474575671444472</v>
      </c>
      <c r="P489" s="784" t="s">
        <v>395</v>
      </c>
      <c r="Q489" s="668"/>
    </row>
    <row r="490" spans="1:18" s="268" customFormat="1" ht="50.1" customHeight="1">
      <c r="A490" s="559"/>
      <c r="B490" s="61"/>
      <c r="C490" s="394">
        <v>1</v>
      </c>
      <c r="D490" s="425"/>
      <c r="E490" s="535" t="s">
        <v>50</v>
      </c>
      <c r="F490" s="422"/>
      <c r="G490" s="422"/>
      <c r="H490" s="422"/>
      <c r="I490" s="422"/>
      <c r="J490" s="422"/>
      <c r="K490" s="428">
        <v>1117000</v>
      </c>
      <c r="L490" s="428">
        <f>L491+L510+L533</f>
        <v>1123000</v>
      </c>
      <c r="M490" s="428">
        <f t="shared" ref="M490:N490" si="72">M491+M510+M533</f>
        <v>1139408</v>
      </c>
      <c r="N490" s="428">
        <f t="shared" si="72"/>
        <v>662381.96</v>
      </c>
      <c r="O490" s="872">
        <f>N490/M490</f>
        <v>0.58133869518205938</v>
      </c>
      <c r="P490" s="765" t="s">
        <v>395</v>
      </c>
      <c r="Q490" s="651"/>
    </row>
    <row r="491" spans="1:18" s="431" customFormat="1" ht="39.9" customHeight="1">
      <c r="A491" s="735"/>
      <c r="B491" s="944"/>
      <c r="C491" s="458"/>
      <c r="D491" s="444"/>
      <c r="E491" s="945" t="s">
        <v>412</v>
      </c>
      <c r="F491" s="547"/>
      <c r="G491" s="946"/>
      <c r="H491" s="946"/>
      <c r="I491" s="946"/>
      <c r="J491" s="947"/>
      <c r="K491" s="948"/>
      <c r="L491" s="949">
        <v>937000</v>
      </c>
      <c r="M491" s="949">
        <v>952686</v>
      </c>
      <c r="N491" s="950">
        <f>SUM(N493:N509)</f>
        <v>557268.44999999995</v>
      </c>
      <c r="O491" s="890">
        <f>N491/M491</f>
        <v>0.58494451477191856</v>
      </c>
      <c r="P491" s="780" t="s">
        <v>395</v>
      </c>
      <c r="Q491" s="908"/>
      <c r="R491" s="951"/>
    </row>
    <row r="492" spans="1:18" s="440" customFormat="1" ht="34.5" customHeight="1">
      <c r="A492" s="705"/>
      <c r="B492" s="706"/>
      <c r="C492" s="450"/>
      <c r="D492" s="438"/>
      <c r="E492" s="952" t="s">
        <v>13</v>
      </c>
      <c r="F492" s="519"/>
      <c r="G492" s="734"/>
      <c r="H492" s="734"/>
      <c r="I492" s="734"/>
      <c r="J492" s="734"/>
      <c r="K492" s="383"/>
      <c r="L492" s="699"/>
      <c r="M492" s="699"/>
      <c r="N492" s="699"/>
      <c r="O492" s="839"/>
      <c r="P492" s="772"/>
      <c r="Q492" s="812"/>
      <c r="R492" s="953"/>
    </row>
    <row r="493" spans="1:18" s="440" customFormat="1" ht="57" customHeight="1">
      <c r="A493" s="424"/>
      <c r="B493" s="706"/>
      <c r="C493" s="450"/>
      <c r="D493" s="425"/>
      <c r="E493" s="954" t="s">
        <v>470</v>
      </c>
      <c r="F493" s="519"/>
      <c r="G493" s="734"/>
      <c r="H493" s="734"/>
      <c r="I493" s="734"/>
      <c r="J493" s="734"/>
      <c r="K493" s="383"/>
      <c r="L493" s="955"/>
      <c r="M493" s="955"/>
      <c r="N493" s="959">
        <v>231890.83</v>
      </c>
      <c r="O493" s="839"/>
      <c r="P493" s="772"/>
      <c r="Q493" s="812"/>
      <c r="R493" s="953"/>
    </row>
    <row r="494" spans="1:18" s="440" customFormat="1" ht="57" customHeight="1">
      <c r="A494" s="424"/>
      <c r="B494" s="706"/>
      <c r="C494" s="450"/>
      <c r="D494" s="438"/>
      <c r="E494" s="954" t="s">
        <v>471</v>
      </c>
      <c r="F494" s="519"/>
      <c r="G494" s="734"/>
      <c r="H494" s="734"/>
      <c r="I494" s="734"/>
      <c r="J494" s="734"/>
      <c r="K494" s="383"/>
      <c r="L494" s="955"/>
      <c r="M494" s="955"/>
      <c r="N494" s="959">
        <v>29853</v>
      </c>
      <c r="O494" s="839"/>
      <c r="P494" s="772"/>
      <c r="Q494" s="812"/>
      <c r="R494" s="953"/>
    </row>
    <row r="495" spans="1:18" s="440" customFormat="1" ht="45" customHeight="1">
      <c r="A495" s="424"/>
      <c r="B495" s="706"/>
      <c r="C495" s="450"/>
      <c r="D495" s="438"/>
      <c r="E495" s="954" t="s">
        <v>435</v>
      </c>
      <c r="F495" s="519"/>
      <c r="G495" s="734"/>
      <c r="H495" s="734"/>
      <c r="I495" s="734"/>
      <c r="J495" s="734"/>
      <c r="K495" s="383"/>
      <c r="L495" s="955"/>
      <c r="M495" s="955"/>
      <c r="N495" s="959">
        <v>0</v>
      </c>
      <c r="O495" s="839"/>
      <c r="P495" s="772"/>
      <c r="Q495" s="812"/>
      <c r="R495" s="953"/>
    </row>
    <row r="496" spans="1:18" s="440" customFormat="1" ht="53.25" customHeight="1">
      <c r="A496" s="424"/>
      <c r="B496" s="706"/>
      <c r="C496" s="450"/>
      <c r="D496" s="438"/>
      <c r="E496" s="954" t="s">
        <v>472</v>
      </c>
      <c r="F496" s="519"/>
      <c r="G496" s="734"/>
      <c r="H496" s="734"/>
      <c r="I496" s="734"/>
      <c r="J496" s="734"/>
      <c r="K496" s="383"/>
      <c r="L496" s="955"/>
      <c r="M496" s="955"/>
      <c r="N496" s="959">
        <v>15115.27</v>
      </c>
      <c r="O496" s="839"/>
      <c r="P496" s="772"/>
      <c r="Q496" s="812"/>
      <c r="R496" s="953"/>
    </row>
    <row r="497" spans="1:18" s="440" customFormat="1" ht="45" customHeight="1">
      <c r="A497" s="424"/>
      <c r="B497" s="706"/>
      <c r="C497" s="450"/>
      <c r="D497" s="438"/>
      <c r="E497" s="954" t="s">
        <v>436</v>
      </c>
      <c r="F497" s="519"/>
      <c r="G497" s="734"/>
      <c r="H497" s="734"/>
      <c r="I497" s="734"/>
      <c r="J497" s="734"/>
      <c r="K497" s="383"/>
      <c r="L497" s="955"/>
      <c r="M497" s="955"/>
      <c r="N497" s="959">
        <v>0</v>
      </c>
      <c r="O497" s="839"/>
      <c r="P497" s="772"/>
      <c r="Q497" s="812"/>
      <c r="R497" s="953"/>
    </row>
    <row r="498" spans="1:18" s="440" customFormat="1" ht="36" customHeight="1">
      <c r="A498" s="424"/>
      <c r="B498" s="706"/>
      <c r="C498" s="450"/>
      <c r="D498" s="438"/>
      <c r="E498" s="954" t="s">
        <v>437</v>
      </c>
      <c r="F498" s="519"/>
      <c r="G498" s="734"/>
      <c r="H498" s="734"/>
      <c r="I498" s="734"/>
      <c r="J498" s="734"/>
      <c r="K498" s="383"/>
      <c r="L498" s="955"/>
      <c r="M498" s="955"/>
      <c r="N498" s="959">
        <v>0</v>
      </c>
      <c r="O498" s="839"/>
      <c r="P498" s="772"/>
      <c r="Q498" s="812"/>
      <c r="R498" s="953"/>
    </row>
    <row r="499" spans="1:18" s="440" customFormat="1" ht="36" customHeight="1">
      <c r="A499" s="424"/>
      <c r="B499" s="706"/>
      <c r="C499" s="450"/>
      <c r="D499" s="438"/>
      <c r="E499" s="954" t="s">
        <v>438</v>
      </c>
      <c r="F499" s="519"/>
      <c r="G499" s="734"/>
      <c r="H499" s="734"/>
      <c r="I499" s="734"/>
      <c r="J499" s="734"/>
      <c r="K499" s="383"/>
      <c r="L499" s="955"/>
      <c r="M499" s="955"/>
      <c r="N499" s="959">
        <v>0</v>
      </c>
      <c r="O499" s="839"/>
      <c r="P499" s="772"/>
      <c r="Q499" s="812"/>
      <c r="R499" s="953"/>
    </row>
    <row r="500" spans="1:18" s="440" customFormat="1" ht="36" customHeight="1">
      <c r="A500" s="424"/>
      <c r="B500" s="706"/>
      <c r="C500" s="450"/>
      <c r="D500" s="438"/>
      <c r="E500" s="954" t="s">
        <v>473</v>
      </c>
      <c r="F500" s="519"/>
      <c r="G500" s="734"/>
      <c r="H500" s="734"/>
      <c r="I500" s="734"/>
      <c r="J500" s="734"/>
      <c r="K500" s="383"/>
      <c r="L500" s="955"/>
      <c r="M500" s="955"/>
      <c r="N500" s="959">
        <v>429.27</v>
      </c>
      <c r="O500" s="839"/>
      <c r="P500" s="772"/>
      <c r="Q500" s="812"/>
      <c r="R500" s="953"/>
    </row>
    <row r="501" spans="1:18" s="440" customFormat="1" ht="36" customHeight="1">
      <c r="A501" s="424"/>
      <c r="B501" s="706"/>
      <c r="C501" s="450"/>
      <c r="D501" s="438"/>
      <c r="E501" s="954" t="s">
        <v>439</v>
      </c>
      <c r="F501" s="519"/>
      <c r="G501" s="734"/>
      <c r="H501" s="734"/>
      <c r="I501" s="734"/>
      <c r="J501" s="734"/>
      <c r="K501" s="383"/>
      <c r="L501" s="955"/>
      <c r="M501" s="955"/>
      <c r="N501" s="959">
        <v>0</v>
      </c>
      <c r="O501" s="839"/>
      <c r="P501" s="772"/>
      <c r="Q501" s="812"/>
      <c r="R501" s="953"/>
    </row>
    <row r="502" spans="1:18" s="440" customFormat="1" ht="36" customHeight="1">
      <c r="A502" s="424"/>
      <c r="B502" s="706"/>
      <c r="C502" s="450"/>
      <c r="D502" s="438"/>
      <c r="E502" s="954" t="s">
        <v>440</v>
      </c>
      <c r="F502" s="519"/>
      <c r="G502" s="734"/>
      <c r="H502" s="734"/>
      <c r="I502" s="734"/>
      <c r="J502" s="734"/>
      <c r="K502" s="383"/>
      <c r="L502" s="955"/>
      <c r="M502" s="955"/>
      <c r="N502" s="959">
        <v>0</v>
      </c>
      <c r="O502" s="839"/>
      <c r="P502" s="772"/>
      <c r="Q502" s="812"/>
      <c r="R502" s="953"/>
    </row>
    <row r="503" spans="1:18" s="440" customFormat="1" ht="36" customHeight="1">
      <c r="A503" s="424"/>
      <c r="B503" s="706"/>
      <c r="C503" s="450"/>
      <c r="D503" s="438"/>
      <c r="E503" s="954" t="s">
        <v>441</v>
      </c>
      <c r="F503" s="519"/>
      <c r="G503" s="734"/>
      <c r="H503" s="734"/>
      <c r="I503" s="734"/>
      <c r="J503" s="734"/>
      <c r="K503" s="383"/>
      <c r="L503" s="955"/>
      <c r="M503" s="955"/>
      <c r="N503" s="959">
        <v>0</v>
      </c>
      <c r="O503" s="839"/>
      <c r="P503" s="772"/>
      <c r="Q503" s="812"/>
      <c r="R503" s="953"/>
    </row>
    <row r="504" spans="1:18" s="440" customFormat="1" ht="57" customHeight="1">
      <c r="A504" s="424"/>
      <c r="B504" s="706"/>
      <c r="C504" s="450"/>
      <c r="D504" s="438"/>
      <c r="E504" s="954" t="s">
        <v>474</v>
      </c>
      <c r="F504" s="519"/>
      <c r="G504" s="734"/>
      <c r="H504" s="734"/>
      <c r="I504" s="734"/>
      <c r="J504" s="734"/>
      <c r="K504" s="383"/>
      <c r="L504" s="955"/>
      <c r="M504" s="955"/>
      <c r="N504" s="959">
        <v>130730.8</v>
      </c>
      <c r="O504" s="839"/>
      <c r="P504" s="772"/>
      <c r="Q504" s="812"/>
      <c r="R504" s="953"/>
    </row>
    <row r="505" spans="1:18" s="440" customFormat="1" ht="36" customHeight="1">
      <c r="A505" s="424"/>
      <c r="B505" s="706"/>
      <c r="C505" s="450"/>
      <c r="D505" s="438"/>
      <c r="E505" s="954" t="s">
        <v>442</v>
      </c>
      <c r="F505" s="519"/>
      <c r="G505" s="734"/>
      <c r="H505" s="734"/>
      <c r="I505" s="734"/>
      <c r="J505" s="734"/>
      <c r="K505" s="383"/>
      <c r="L505" s="955"/>
      <c r="M505" s="955"/>
      <c r="N505" s="959">
        <v>0</v>
      </c>
      <c r="O505" s="839"/>
      <c r="P505" s="772"/>
      <c r="Q505" s="812"/>
      <c r="R505" s="953"/>
    </row>
    <row r="506" spans="1:18" s="440" customFormat="1" ht="36" customHeight="1">
      <c r="A506" s="424"/>
      <c r="B506" s="706"/>
      <c r="C506" s="450"/>
      <c r="D506" s="438"/>
      <c r="E506" s="954" t="s">
        <v>443</v>
      </c>
      <c r="F506" s="519"/>
      <c r="G506" s="734"/>
      <c r="H506" s="734"/>
      <c r="I506" s="734"/>
      <c r="J506" s="734"/>
      <c r="K506" s="383"/>
      <c r="L506" s="955"/>
      <c r="M506" s="955"/>
      <c r="N506" s="959">
        <v>61280.57</v>
      </c>
      <c r="O506" s="839"/>
      <c r="P506" s="772"/>
      <c r="Q506" s="812"/>
      <c r="R506" s="953"/>
    </row>
    <row r="507" spans="1:18" s="440" customFormat="1" ht="36" customHeight="1">
      <c r="A507" s="424"/>
      <c r="B507" s="706"/>
      <c r="C507" s="450"/>
      <c r="D507" s="438"/>
      <c r="E507" s="954" t="s">
        <v>444</v>
      </c>
      <c r="F507" s="519"/>
      <c r="G507" s="734"/>
      <c r="H507" s="734"/>
      <c r="I507" s="734"/>
      <c r="J507" s="734"/>
      <c r="K507" s="383"/>
      <c r="L507" s="955"/>
      <c r="M507" s="955"/>
      <c r="N507" s="959">
        <v>2629.5</v>
      </c>
      <c r="O507" s="839"/>
      <c r="P507" s="772"/>
      <c r="Q507" s="812"/>
      <c r="R507" s="953"/>
    </row>
    <row r="508" spans="1:18" s="440" customFormat="1" ht="36" customHeight="1">
      <c r="A508" s="424"/>
      <c r="B508" s="706"/>
      <c r="C508" s="450"/>
      <c r="D508" s="438"/>
      <c r="E508" s="954" t="s">
        <v>445</v>
      </c>
      <c r="F508" s="519"/>
      <c r="G508" s="734"/>
      <c r="H508" s="734"/>
      <c r="I508" s="734"/>
      <c r="J508" s="734"/>
      <c r="K508" s="383"/>
      <c r="L508" s="955"/>
      <c r="M508" s="955"/>
      <c r="N508" s="959">
        <v>0</v>
      </c>
      <c r="O508" s="839"/>
      <c r="P508" s="772"/>
      <c r="Q508" s="812"/>
      <c r="R508" s="953"/>
    </row>
    <row r="509" spans="1:18" s="440" customFormat="1" ht="36" customHeight="1">
      <c r="A509" s="424"/>
      <c r="B509" s="706"/>
      <c r="C509" s="450"/>
      <c r="D509" s="438"/>
      <c r="E509" s="954" t="s">
        <v>446</v>
      </c>
      <c r="F509" s="519"/>
      <c r="G509" s="734"/>
      <c r="H509" s="734"/>
      <c r="I509" s="734"/>
      <c r="J509" s="734"/>
      <c r="K509" s="383"/>
      <c r="L509" s="955"/>
      <c r="M509" s="955"/>
      <c r="N509" s="959">
        <v>85339.21</v>
      </c>
      <c r="O509" s="839"/>
      <c r="P509" s="772"/>
      <c r="Q509" s="812"/>
      <c r="R509" s="953"/>
    </row>
    <row r="510" spans="1:18" s="440" customFormat="1" ht="57" customHeight="1">
      <c r="A510" s="424"/>
      <c r="B510" s="706"/>
      <c r="C510" s="489"/>
      <c r="D510" s="438"/>
      <c r="E510" s="945" t="s">
        <v>418</v>
      </c>
      <c r="F510" s="949">
        <v>117300</v>
      </c>
      <c r="G510" s="949">
        <v>111778</v>
      </c>
      <c r="H510" s="949">
        <v>74715.13</v>
      </c>
      <c r="I510" s="734"/>
      <c r="J510" s="734"/>
      <c r="K510" s="529"/>
      <c r="L510" s="949">
        <v>186000</v>
      </c>
      <c r="M510" s="949">
        <v>186722</v>
      </c>
      <c r="N510" s="956">
        <f>SUM(N511:N532)</f>
        <v>105113.51000000001</v>
      </c>
      <c r="O510" s="890">
        <f>N510/M510</f>
        <v>0.56294121742483483</v>
      </c>
      <c r="P510" s="772" t="s">
        <v>395</v>
      </c>
      <c r="Q510" s="812"/>
      <c r="R510" s="953"/>
    </row>
    <row r="511" spans="1:18" s="440" customFormat="1" ht="75" customHeight="1">
      <c r="A511" s="424"/>
      <c r="B511" s="706"/>
      <c r="C511" s="489"/>
      <c r="D511" s="438"/>
      <c r="E511" s="957" t="s">
        <v>447</v>
      </c>
      <c r="F511" s="958"/>
      <c r="G511" s="958"/>
      <c r="H511" s="958">
        <v>0</v>
      </c>
      <c r="I511" s="734"/>
      <c r="J511" s="734"/>
      <c r="K511" s="529"/>
      <c r="L511" s="958"/>
      <c r="M511" s="958"/>
      <c r="N511" s="959">
        <v>0</v>
      </c>
      <c r="O511" s="839"/>
      <c r="P511" s="772"/>
      <c r="Q511" s="812"/>
      <c r="R511" s="953"/>
    </row>
    <row r="512" spans="1:18" s="440" customFormat="1" ht="36" customHeight="1">
      <c r="A512" s="424"/>
      <c r="B512" s="706"/>
      <c r="C512" s="489"/>
      <c r="D512" s="438"/>
      <c r="E512" s="957" t="s">
        <v>448</v>
      </c>
      <c r="F512" s="958"/>
      <c r="G512" s="958"/>
      <c r="H512" s="958">
        <v>0</v>
      </c>
      <c r="I512" s="734"/>
      <c r="J512" s="734"/>
      <c r="K512" s="529"/>
      <c r="L512" s="958"/>
      <c r="M512" s="958"/>
      <c r="N512" s="959">
        <v>0</v>
      </c>
      <c r="O512" s="839"/>
      <c r="P512" s="772"/>
      <c r="Q512" s="812"/>
      <c r="R512" s="953"/>
    </row>
    <row r="513" spans="1:18" s="440" customFormat="1" ht="36" customHeight="1">
      <c r="A513" s="424"/>
      <c r="B513" s="706"/>
      <c r="C513" s="489"/>
      <c r="D513" s="438"/>
      <c r="E513" s="957" t="s">
        <v>449</v>
      </c>
      <c r="F513" s="958"/>
      <c r="G513" s="958"/>
      <c r="H513" s="958">
        <v>0</v>
      </c>
      <c r="I513" s="734"/>
      <c r="J513" s="734"/>
      <c r="K513" s="529"/>
      <c r="L513" s="958"/>
      <c r="M513" s="958"/>
      <c r="N513" s="959">
        <v>0</v>
      </c>
      <c r="O513" s="839"/>
      <c r="P513" s="772"/>
      <c r="Q513" s="812"/>
      <c r="R513" s="953"/>
    </row>
    <row r="514" spans="1:18" s="440" customFormat="1" ht="36" customHeight="1">
      <c r="A514" s="424"/>
      <c r="B514" s="706"/>
      <c r="C514" s="489"/>
      <c r="D514" s="438"/>
      <c r="E514" s="957" t="s">
        <v>450</v>
      </c>
      <c r="F514" s="958"/>
      <c r="G514" s="958"/>
      <c r="H514" s="958">
        <v>0</v>
      </c>
      <c r="I514" s="734"/>
      <c r="J514" s="734"/>
      <c r="K514" s="529"/>
      <c r="L514" s="958"/>
      <c r="M514" s="958"/>
      <c r="N514" s="959">
        <v>0</v>
      </c>
      <c r="O514" s="839"/>
      <c r="P514" s="772"/>
      <c r="Q514" s="812"/>
      <c r="R514" s="953"/>
    </row>
    <row r="515" spans="1:18" s="440" customFormat="1" ht="36" customHeight="1">
      <c r="A515" s="424"/>
      <c r="B515" s="706"/>
      <c r="C515" s="489"/>
      <c r="D515" s="438"/>
      <c r="E515" s="957" t="s">
        <v>451</v>
      </c>
      <c r="F515" s="958"/>
      <c r="G515" s="958"/>
      <c r="H515" s="958">
        <v>0</v>
      </c>
      <c r="I515" s="734"/>
      <c r="J515" s="734"/>
      <c r="K515" s="529"/>
      <c r="L515" s="958"/>
      <c r="M515" s="958"/>
      <c r="N515" s="959">
        <v>0</v>
      </c>
      <c r="O515" s="839"/>
      <c r="P515" s="772"/>
      <c r="Q515" s="812"/>
      <c r="R515" s="953"/>
    </row>
    <row r="516" spans="1:18" s="440" customFormat="1" ht="59.25" customHeight="1">
      <c r="A516" s="424"/>
      <c r="B516" s="706"/>
      <c r="C516" s="489"/>
      <c r="D516" s="438"/>
      <c r="E516" s="960" t="s">
        <v>475</v>
      </c>
      <c r="F516" s="958"/>
      <c r="G516" s="958"/>
      <c r="H516" s="958">
        <v>4300</v>
      </c>
      <c r="I516" s="734"/>
      <c r="J516" s="734"/>
      <c r="K516" s="529"/>
      <c r="L516" s="958"/>
      <c r="M516" s="958"/>
      <c r="N516" s="959">
        <v>2182.3200000000002</v>
      </c>
      <c r="O516" s="839"/>
      <c r="P516" s="772"/>
      <c r="Q516" s="812"/>
      <c r="R516" s="953"/>
    </row>
    <row r="517" spans="1:18" s="440" customFormat="1" ht="84" customHeight="1">
      <c r="A517" s="424"/>
      <c r="B517" s="706"/>
      <c r="C517" s="489"/>
      <c r="D517" s="438"/>
      <c r="E517" s="957" t="s">
        <v>452</v>
      </c>
      <c r="F517" s="958"/>
      <c r="G517" s="958"/>
      <c r="H517" s="958">
        <v>0</v>
      </c>
      <c r="I517" s="734"/>
      <c r="J517" s="734"/>
      <c r="K517" s="529"/>
      <c r="L517" s="958"/>
      <c r="M517" s="958"/>
      <c r="N517" s="959">
        <v>4424.8999999999996</v>
      </c>
      <c r="O517" s="839"/>
      <c r="P517" s="772"/>
      <c r="Q517" s="812"/>
      <c r="R517" s="953"/>
    </row>
    <row r="518" spans="1:18" s="440" customFormat="1" ht="65.400000000000006" customHeight="1">
      <c r="A518" s="424"/>
      <c r="B518" s="706"/>
      <c r="C518" s="489"/>
      <c r="D518" s="438"/>
      <c r="E518" s="957" t="s">
        <v>453</v>
      </c>
      <c r="F518" s="958"/>
      <c r="G518" s="958"/>
      <c r="H518" s="958">
        <v>0</v>
      </c>
      <c r="I518" s="734"/>
      <c r="J518" s="734"/>
      <c r="K518" s="529"/>
      <c r="L518" s="958"/>
      <c r="M518" s="958"/>
      <c r="N518" s="959">
        <v>0</v>
      </c>
      <c r="O518" s="839"/>
      <c r="P518" s="772"/>
      <c r="Q518" s="812"/>
      <c r="R518" s="953"/>
    </row>
    <row r="519" spans="1:18" s="440" customFormat="1" ht="54.75" customHeight="1">
      <c r="A519" s="424"/>
      <c r="B519" s="706"/>
      <c r="C519" s="489"/>
      <c r="D519" s="438"/>
      <c r="E519" s="957" t="s">
        <v>454</v>
      </c>
      <c r="F519" s="958"/>
      <c r="G519" s="958"/>
      <c r="H519" s="958">
        <v>0</v>
      </c>
      <c r="I519" s="734"/>
      <c r="J519" s="734"/>
      <c r="K519" s="529"/>
      <c r="L519" s="958"/>
      <c r="M519" s="958"/>
      <c r="N519" s="959">
        <v>2202.2600000000002</v>
      </c>
      <c r="O519" s="839"/>
      <c r="P519" s="772"/>
      <c r="Q519" s="812"/>
      <c r="R519" s="953"/>
    </row>
    <row r="520" spans="1:18" s="440" customFormat="1" ht="54.75" customHeight="1">
      <c r="A520" s="424"/>
      <c r="B520" s="706"/>
      <c r="C520" s="489"/>
      <c r="D520" s="438"/>
      <c r="E520" s="957" t="s">
        <v>455</v>
      </c>
      <c r="F520" s="958"/>
      <c r="G520" s="958"/>
      <c r="H520" s="958">
        <v>0</v>
      </c>
      <c r="I520" s="734"/>
      <c r="J520" s="734"/>
      <c r="K520" s="529"/>
      <c r="L520" s="958"/>
      <c r="M520" s="958"/>
      <c r="N520" s="959">
        <v>0</v>
      </c>
      <c r="O520" s="839"/>
      <c r="P520" s="772"/>
      <c r="Q520" s="812"/>
      <c r="R520" s="953"/>
    </row>
    <row r="521" spans="1:18" s="440" customFormat="1" ht="54.75" customHeight="1">
      <c r="A521" s="424"/>
      <c r="B521" s="706"/>
      <c r="C521" s="489"/>
      <c r="D521" s="438"/>
      <c r="E521" s="957" t="s">
        <v>456</v>
      </c>
      <c r="F521" s="958"/>
      <c r="G521" s="958"/>
      <c r="H521" s="958">
        <v>0</v>
      </c>
      <c r="I521" s="734"/>
      <c r="J521" s="734"/>
      <c r="K521" s="529"/>
      <c r="L521" s="958"/>
      <c r="M521" s="958"/>
      <c r="N521" s="959">
        <v>586.14</v>
      </c>
      <c r="O521" s="839"/>
      <c r="P521" s="772"/>
      <c r="Q521" s="812"/>
      <c r="R521" s="953"/>
    </row>
    <row r="522" spans="1:18" s="440" customFormat="1" ht="54.75" customHeight="1">
      <c r="A522" s="424"/>
      <c r="B522" s="706"/>
      <c r="C522" s="489"/>
      <c r="D522" s="438"/>
      <c r="E522" s="957" t="s">
        <v>457</v>
      </c>
      <c r="F522" s="958"/>
      <c r="G522" s="958"/>
      <c r="H522" s="958">
        <v>0</v>
      </c>
      <c r="I522" s="734"/>
      <c r="J522" s="734"/>
      <c r="K522" s="529"/>
      <c r="L522" s="958"/>
      <c r="M522" s="958"/>
      <c r="N522" s="959">
        <v>0</v>
      </c>
      <c r="O522" s="839"/>
      <c r="P522" s="772"/>
      <c r="Q522" s="812"/>
      <c r="R522" s="953"/>
    </row>
    <row r="523" spans="1:18" s="440" customFormat="1" ht="54.75" customHeight="1">
      <c r="A523" s="424"/>
      <c r="B523" s="706"/>
      <c r="C523" s="489"/>
      <c r="D523" s="438"/>
      <c r="E523" s="957" t="s">
        <v>458</v>
      </c>
      <c r="F523" s="961"/>
      <c r="G523" s="961"/>
      <c r="H523" s="958">
        <v>32231.32</v>
      </c>
      <c r="I523" s="734"/>
      <c r="J523" s="734"/>
      <c r="K523" s="529"/>
      <c r="L523" s="961"/>
      <c r="M523" s="961"/>
      <c r="N523" s="959">
        <v>33410.32</v>
      </c>
      <c r="O523" s="839"/>
      <c r="P523" s="772"/>
      <c r="Q523" s="812"/>
      <c r="R523" s="953"/>
    </row>
    <row r="524" spans="1:18" s="440" customFormat="1" ht="36" customHeight="1">
      <c r="A524" s="424"/>
      <c r="B524" s="706"/>
      <c r="C524" s="489"/>
      <c r="D524" s="438"/>
      <c r="E524" s="957" t="s">
        <v>459</v>
      </c>
      <c r="F524" s="961"/>
      <c r="G524" s="961"/>
      <c r="H524" s="958">
        <v>0</v>
      </c>
      <c r="I524" s="734"/>
      <c r="J524" s="734"/>
      <c r="K524" s="529"/>
      <c r="L524" s="961"/>
      <c r="M524" s="961"/>
      <c r="N524" s="959">
        <v>3234.86</v>
      </c>
      <c r="O524" s="839"/>
      <c r="P524" s="772"/>
      <c r="Q524" s="812"/>
      <c r="R524" s="953"/>
    </row>
    <row r="525" spans="1:18" s="440" customFormat="1" ht="36" customHeight="1">
      <c r="A525" s="424"/>
      <c r="B525" s="706"/>
      <c r="C525" s="489"/>
      <c r="D525" s="438"/>
      <c r="E525" s="957" t="s">
        <v>460</v>
      </c>
      <c r="F525" s="961"/>
      <c r="G525" s="961"/>
      <c r="H525" s="958">
        <v>692</v>
      </c>
      <c r="I525" s="734"/>
      <c r="J525" s="734"/>
      <c r="K525" s="529"/>
      <c r="L525" s="961"/>
      <c r="M525" s="961"/>
      <c r="N525" s="959">
        <v>449.74</v>
      </c>
      <c r="O525" s="839"/>
      <c r="P525" s="772"/>
      <c r="Q525" s="812"/>
      <c r="R525" s="953"/>
    </row>
    <row r="526" spans="1:18" s="440" customFormat="1" ht="36" customHeight="1">
      <c r="A526" s="424"/>
      <c r="B526" s="706"/>
      <c r="C526" s="489"/>
      <c r="D526" s="438"/>
      <c r="E526" s="957" t="s">
        <v>461</v>
      </c>
      <c r="F526" s="961"/>
      <c r="G526" s="961"/>
      <c r="H526" s="958">
        <v>35817</v>
      </c>
      <c r="I526" s="734"/>
      <c r="J526" s="734"/>
      <c r="K526" s="529"/>
      <c r="L526" s="961"/>
      <c r="M526" s="961"/>
      <c r="N526" s="959">
        <v>39242</v>
      </c>
      <c r="O526" s="839"/>
      <c r="P526" s="772"/>
      <c r="Q526" s="812"/>
      <c r="R526" s="953"/>
    </row>
    <row r="527" spans="1:18" s="440" customFormat="1" ht="36" customHeight="1">
      <c r="A527" s="424"/>
      <c r="B527" s="706"/>
      <c r="C527" s="489"/>
      <c r="D527" s="438"/>
      <c r="E527" s="957" t="s">
        <v>462</v>
      </c>
      <c r="F527" s="961"/>
      <c r="G527" s="961"/>
      <c r="H527" s="958">
        <v>0</v>
      </c>
      <c r="I527" s="734"/>
      <c r="J527" s="734"/>
      <c r="K527" s="529"/>
      <c r="L527" s="961"/>
      <c r="M527" s="961"/>
      <c r="N527" s="959">
        <v>0</v>
      </c>
      <c r="O527" s="839"/>
      <c r="P527" s="772"/>
      <c r="Q527" s="812"/>
      <c r="R527" s="953"/>
    </row>
    <row r="528" spans="1:18" s="440" customFormat="1" ht="58.5" customHeight="1">
      <c r="A528" s="424"/>
      <c r="B528" s="706"/>
      <c r="C528" s="489"/>
      <c r="D528" s="438"/>
      <c r="E528" s="957" t="s">
        <v>463</v>
      </c>
      <c r="F528" s="961"/>
      <c r="G528" s="961"/>
      <c r="H528" s="958">
        <v>0</v>
      </c>
      <c r="I528" s="734"/>
      <c r="J528" s="734"/>
      <c r="K528" s="529"/>
      <c r="L528" s="961"/>
      <c r="M528" s="961"/>
      <c r="N528" s="959">
        <v>0</v>
      </c>
      <c r="O528" s="839"/>
      <c r="P528" s="772"/>
      <c r="Q528" s="812"/>
      <c r="R528" s="953"/>
    </row>
    <row r="529" spans="1:18" s="440" customFormat="1" ht="36" customHeight="1">
      <c r="A529" s="424"/>
      <c r="B529" s="706"/>
      <c r="C529" s="489"/>
      <c r="D529" s="438"/>
      <c r="E529" s="957" t="s">
        <v>464</v>
      </c>
      <c r="F529" s="961"/>
      <c r="G529" s="961"/>
      <c r="H529" s="958">
        <v>0</v>
      </c>
      <c r="I529" s="734"/>
      <c r="J529" s="734"/>
      <c r="K529" s="529"/>
      <c r="L529" s="961"/>
      <c r="M529" s="961"/>
      <c r="N529" s="959">
        <v>0</v>
      </c>
      <c r="O529" s="839"/>
      <c r="P529" s="772"/>
      <c r="Q529" s="812"/>
      <c r="R529" s="953"/>
    </row>
    <row r="530" spans="1:18" s="440" customFormat="1" ht="36" customHeight="1">
      <c r="A530" s="424"/>
      <c r="B530" s="706"/>
      <c r="C530" s="489"/>
      <c r="D530" s="438"/>
      <c r="E530" s="957" t="s">
        <v>465</v>
      </c>
      <c r="F530" s="961"/>
      <c r="G530" s="961"/>
      <c r="H530" s="958">
        <v>0</v>
      </c>
      <c r="I530" s="734"/>
      <c r="J530" s="734"/>
      <c r="K530" s="529"/>
      <c r="L530" s="961"/>
      <c r="M530" s="961"/>
      <c r="N530" s="959">
        <v>250</v>
      </c>
      <c r="O530" s="839"/>
      <c r="P530" s="772"/>
      <c r="Q530" s="812"/>
      <c r="R530" s="953"/>
    </row>
    <row r="531" spans="1:18" s="440" customFormat="1" ht="36" customHeight="1">
      <c r="A531" s="424"/>
      <c r="B531" s="706"/>
      <c r="C531" s="489"/>
      <c r="D531" s="438"/>
      <c r="E531" s="957" t="s">
        <v>466</v>
      </c>
      <c r="F531" s="961"/>
      <c r="G531" s="961"/>
      <c r="H531" s="958">
        <v>1674.81</v>
      </c>
      <c r="I531" s="734"/>
      <c r="J531" s="734"/>
      <c r="K531" s="529"/>
      <c r="L531" s="961"/>
      <c r="M531" s="961"/>
      <c r="N531" s="959">
        <v>19130.97</v>
      </c>
      <c r="O531" s="839"/>
      <c r="P531" s="772"/>
      <c r="Q531" s="812"/>
      <c r="R531" s="953"/>
    </row>
    <row r="532" spans="1:18" s="440" customFormat="1" ht="36" customHeight="1">
      <c r="A532" s="424"/>
      <c r="B532" s="706"/>
      <c r="C532" s="489"/>
      <c r="D532" s="438"/>
      <c r="E532" s="957" t="s">
        <v>476</v>
      </c>
      <c r="F532" s="961"/>
      <c r="G532" s="961"/>
      <c r="H532" s="958">
        <v>1674.81</v>
      </c>
      <c r="I532" s="734"/>
      <c r="J532" s="734"/>
      <c r="K532" s="529"/>
      <c r="L532" s="961"/>
      <c r="M532" s="961"/>
      <c r="N532" s="959">
        <v>0</v>
      </c>
      <c r="O532" s="839"/>
      <c r="P532" s="772"/>
      <c r="Q532" s="812"/>
      <c r="R532" s="953"/>
    </row>
    <row r="533" spans="1:18" s="440" customFormat="1" ht="57" customHeight="1">
      <c r="A533" s="424"/>
      <c r="B533" s="706"/>
      <c r="C533" s="489"/>
      <c r="D533" s="438"/>
      <c r="E533" s="945" t="s">
        <v>467</v>
      </c>
      <c r="F533" s="949">
        <v>117300</v>
      </c>
      <c r="G533" s="949">
        <v>111778</v>
      </c>
      <c r="H533" s="949">
        <v>74715.13</v>
      </c>
      <c r="I533" s="734"/>
      <c r="J533" s="734"/>
      <c r="K533" s="529"/>
      <c r="L533" s="949">
        <v>0</v>
      </c>
      <c r="M533" s="949">
        <v>0</v>
      </c>
      <c r="N533" s="956">
        <v>0</v>
      </c>
      <c r="O533" s="890"/>
      <c r="P533" s="772" t="s">
        <v>395</v>
      </c>
      <c r="Q533" s="812"/>
      <c r="R533" s="953"/>
    </row>
    <row r="534" spans="1:18" s="434" customFormat="1" ht="50.1" customHeight="1">
      <c r="A534" s="559"/>
      <c r="B534" s="962"/>
      <c r="C534" s="560">
        <v>2</v>
      </c>
      <c r="D534" s="561"/>
      <c r="E534" s="285" t="s">
        <v>468</v>
      </c>
      <c r="F534" s="963"/>
      <c r="G534" s="963"/>
      <c r="H534" s="963"/>
      <c r="I534" s="963"/>
      <c r="J534" s="963"/>
      <c r="K534" s="710">
        <v>1240000</v>
      </c>
      <c r="L534" s="710">
        <f>L535+L554+L576</f>
        <v>1316000</v>
      </c>
      <c r="M534" s="710">
        <f t="shared" ref="M534:N534" si="73">M535+M554+M576</f>
        <v>1356000</v>
      </c>
      <c r="N534" s="710">
        <f t="shared" si="73"/>
        <v>754642.77999999991</v>
      </c>
      <c r="O534" s="879">
        <f>N534/M534</f>
        <v>0.55652122418879046</v>
      </c>
      <c r="P534" s="765" t="s">
        <v>395</v>
      </c>
      <c r="Q534" s="964"/>
      <c r="R534" s="651"/>
    </row>
    <row r="535" spans="1:18" s="431" customFormat="1" ht="39.9" customHeight="1">
      <c r="A535" s="429"/>
      <c r="B535" s="944"/>
      <c r="C535" s="458"/>
      <c r="D535" s="444"/>
      <c r="E535" s="945" t="s">
        <v>412</v>
      </c>
      <c r="F535" s="965"/>
      <c r="G535" s="946"/>
      <c r="H535" s="946"/>
      <c r="I535" s="946"/>
      <c r="J535" s="947"/>
      <c r="K535" s="948"/>
      <c r="L535" s="949">
        <v>1122000</v>
      </c>
      <c r="M535" s="949">
        <v>1122000</v>
      </c>
      <c r="N535" s="956">
        <f>SUM(N537:N553)</f>
        <v>642829.94999999995</v>
      </c>
      <c r="O535" s="890">
        <f>N535/M535</f>
        <v>0.57293221925133686</v>
      </c>
      <c r="P535" s="780" t="s">
        <v>395</v>
      </c>
      <c r="Q535" s="908"/>
      <c r="R535" s="951"/>
    </row>
    <row r="536" spans="1:18" s="440" customFormat="1" ht="34.5" customHeight="1">
      <c r="A536" s="424"/>
      <c r="B536" s="706"/>
      <c r="C536" s="450"/>
      <c r="D536" s="438"/>
      <c r="E536" s="952" t="s">
        <v>13</v>
      </c>
      <c r="F536" s="519"/>
      <c r="G536" s="734"/>
      <c r="H536" s="734"/>
      <c r="I536" s="734"/>
      <c r="J536" s="734"/>
      <c r="K536" s="383"/>
      <c r="L536" s="699"/>
      <c r="M536" s="699"/>
      <c r="N536" s="699"/>
      <c r="O536" s="839"/>
      <c r="P536" s="772"/>
      <c r="Q536" s="812"/>
      <c r="R536" s="953"/>
    </row>
    <row r="537" spans="1:18" s="440" customFormat="1" ht="57" customHeight="1">
      <c r="A537" s="424"/>
      <c r="B537" s="706"/>
      <c r="C537" s="450"/>
      <c r="D537" s="425"/>
      <c r="E537" s="954" t="s">
        <v>493</v>
      </c>
      <c r="F537" s="519"/>
      <c r="G537" s="734"/>
      <c r="H537" s="734"/>
      <c r="I537" s="734"/>
      <c r="J537" s="734"/>
      <c r="K537" s="383"/>
      <c r="L537" s="955"/>
      <c r="M537" s="955"/>
      <c r="N537" s="959">
        <v>286392.46000000002</v>
      </c>
      <c r="O537" s="839"/>
      <c r="P537" s="772"/>
      <c r="Q537" s="812"/>
      <c r="R537" s="953"/>
    </row>
    <row r="538" spans="1:18" s="440" customFormat="1" ht="57" customHeight="1">
      <c r="A538" s="424"/>
      <c r="B538" s="706"/>
      <c r="C538" s="450"/>
      <c r="D538" s="438"/>
      <c r="E538" s="954" t="s">
        <v>494</v>
      </c>
      <c r="F538" s="519"/>
      <c r="G538" s="734"/>
      <c r="H538" s="734"/>
      <c r="I538" s="734"/>
      <c r="J538" s="734"/>
      <c r="K538" s="383"/>
      <c r="L538" s="955"/>
      <c r="M538" s="955"/>
      <c r="N538" s="959">
        <v>0</v>
      </c>
      <c r="O538" s="839"/>
      <c r="P538" s="772"/>
      <c r="Q538" s="812"/>
      <c r="R538" s="953"/>
    </row>
    <row r="539" spans="1:18" s="440" customFormat="1" ht="57" customHeight="1">
      <c r="A539" s="424"/>
      <c r="B539" s="706"/>
      <c r="C539" s="450"/>
      <c r="D539" s="438"/>
      <c r="E539" s="954" t="s">
        <v>479</v>
      </c>
      <c r="F539" s="519"/>
      <c r="G539" s="734"/>
      <c r="H539" s="734"/>
      <c r="I539" s="734"/>
      <c r="J539" s="734"/>
      <c r="K539" s="383"/>
      <c r="L539" s="955"/>
      <c r="M539" s="955"/>
      <c r="N539" s="959">
        <v>0</v>
      </c>
      <c r="O539" s="839"/>
      <c r="P539" s="772"/>
      <c r="Q539" s="812"/>
      <c r="R539" s="953"/>
    </row>
    <row r="540" spans="1:18" s="440" customFormat="1" ht="57" customHeight="1">
      <c r="A540" s="424"/>
      <c r="B540" s="706"/>
      <c r="C540" s="450"/>
      <c r="D540" s="438"/>
      <c r="E540" s="954" t="s">
        <v>495</v>
      </c>
      <c r="F540" s="519"/>
      <c r="G540" s="734"/>
      <c r="H540" s="734"/>
      <c r="I540" s="734"/>
      <c r="J540" s="734"/>
      <c r="K540" s="383"/>
      <c r="L540" s="955"/>
      <c r="M540" s="955"/>
      <c r="N540" s="959">
        <v>11437.64</v>
      </c>
      <c r="O540" s="839"/>
      <c r="P540" s="772"/>
      <c r="Q540" s="812"/>
      <c r="R540" s="953"/>
    </row>
    <row r="541" spans="1:18" s="440" customFormat="1" ht="36" customHeight="1">
      <c r="A541" s="424"/>
      <c r="B541" s="706"/>
      <c r="C541" s="450"/>
      <c r="D541" s="438"/>
      <c r="E541" s="954" t="s">
        <v>496</v>
      </c>
      <c r="F541" s="519"/>
      <c r="G541" s="734"/>
      <c r="H541" s="734"/>
      <c r="I541" s="734"/>
      <c r="J541" s="734"/>
      <c r="K541" s="383"/>
      <c r="L541" s="955"/>
      <c r="M541" s="955"/>
      <c r="N541" s="959">
        <v>4264.8599999999997</v>
      </c>
      <c r="O541" s="839"/>
      <c r="P541" s="772"/>
      <c r="Q541" s="812"/>
      <c r="R541" s="953"/>
    </row>
    <row r="542" spans="1:18" s="440" customFormat="1" ht="36" customHeight="1">
      <c r="A542" s="424"/>
      <c r="B542" s="706"/>
      <c r="C542" s="450"/>
      <c r="D542" s="438"/>
      <c r="E542" s="954" t="s">
        <v>437</v>
      </c>
      <c r="F542" s="519"/>
      <c r="G542" s="734"/>
      <c r="H542" s="734"/>
      <c r="I542" s="734"/>
      <c r="J542" s="734"/>
      <c r="K542" s="383"/>
      <c r="L542" s="955"/>
      <c r="M542" s="955"/>
      <c r="N542" s="959">
        <v>0</v>
      </c>
      <c r="O542" s="839"/>
      <c r="P542" s="772"/>
      <c r="Q542" s="812"/>
      <c r="R542" s="953"/>
    </row>
    <row r="543" spans="1:18" s="440" customFormat="1" ht="36" customHeight="1">
      <c r="A543" s="424"/>
      <c r="B543" s="706"/>
      <c r="C543" s="450"/>
      <c r="D543" s="438"/>
      <c r="E543" s="954" t="s">
        <v>438</v>
      </c>
      <c r="F543" s="519"/>
      <c r="G543" s="734"/>
      <c r="H543" s="734"/>
      <c r="I543" s="734"/>
      <c r="J543" s="734"/>
      <c r="K543" s="383"/>
      <c r="L543" s="955"/>
      <c r="M543" s="955"/>
      <c r="N543" s="959">
        <v>0</v>
      </c>
      <c r="O543" s="839"/>
      <c r="P543" s="772"/>
      <c r="Q543" s="812"/>
      <c r="R543" s="953"/>
    </row>
    <row r="544" spans="1:18" s="440" customFormat="1" ht="36" customHeight="1">
      <c r="A544" s="424"/>
      <c r="B544" s="706"/>
      <c r="C544" s="450"/>
      <c r="D544" s="438"/>
      <c r="E544" s="954" t="s">
        <v>497</v>
      </c>
      <c r="F544" s="519"/>
      <c r="G544" s="734"/>
      <c r="H544" s="734"/>
      <c r="I544" s="734"/>
      <c r="J544" s="734"/>
      <c r="K544" s="383"/>
      <c r="L544" s="955"/>
      <c r="M544" s="955"/>
      <c r="N544" s="959">
        <v>1732.85</v>
      </c>
      <c r="O544" s="839"/>
      <c r="P544" s="772"/>
      <c r="Q544" s="812"/>
      <c r="R544" s="953"/>
    </row>
    <row r="545" spans="1:18" s="440" customFormat="1" ht="36" customHeight="1">
      <c r="A545" s="424"/>
      <c r="B545" s="706"/>
      <c r="C545" s="450"/>
      <c r="D545" s="438"/>
      <c r="E545" s="954" t="s">
        <v>439</v>
      </c>
      <c r="F545" s="519"/>
      <c r="G545" s="734"/>
      <c r="H545" s="734"/>
      <c r="I545" s="734"/>
      <c r="J545" s="734"/>
      <c r="K545" s="383"/>
      <c r="L545" s="955"/>
      <c r="M545" s="955"/>
      <c r="N545" s="959">
        <v>0</v>
      </c>
      <c r="O545" s="839"/>
      <c r="P545" s="772"/>
      <c r="Q545" s="812"/>
      <c r="R545" s="953"/>
    </row>
    <row r="546" spans="1:18" s="440" customFormat="1" ht="36" customHeight="1">
      <c r="A546" s="424"/>
      <c r="B546" s="706"/>
      <c r="C546" s="450"/>
      <c r="D546" s="438"/>
      <c r="E546" s="954" t="s">
        <v>440</v>
      </c>
      <c r="F546" s="519"/>
      <c r="G546" s="734"/>
      <c r="H546" s="734"/>
      <c r="I546" s="734"/>
      <c r="J546" s="734"/>
      <c r="K546" s="383"/>
      <c r="L546" s="955"/>
      <c r="M546" s="955"/>
      <c r="N546" s="959">
        <v>0</v>
      </c>
      <c r="O546" s="839"/>
      <c r="P546" s="772"/>
      <c r="Q546" s="812"/>
      <c r="R546" s="953"/>
    </row>
    <row r="547" spans="1:18" s="440" customFormat="1" ht="36" customHeight="1">
      <c r="A547" s="424"/>
      <c r="B547" s="706"/>
      <c r="C547" s="450"/>
      <c r="D547" s="438"/>
      <c r="E547" s="954" t="s">
        <v>441</v>
      </c>
      <c r="F547" s="519"/>
      <c r="G547" s="734"/>
      <c r="H547" s="734"/>
      <c r="I547" s="734"/>
      <c r="J547" s="734"/>
      <c r="K547" s="383"/>
      <c r="L547" s="955"/>
      <c r="M547" s="955"/>
      <c r="N547" s="959">
        <v>0</v>
      </c>
      <c r="O547" s="839"/>
      <c r="P547" s="772"/>
      <c r="Q547" s="812"/>
      <c r="R547" s="953"/>
    </row>
    <row r="548" spans="1:18" s="440" customFormat="1" ht="57" customHeight="1">
      <c r="A548" s="424"/>
      <c r="B548" s="706"/>
      <c r="C548" s="450"/>
      <c r="D548" s="438"/>
      <c r="E548" s="954" t="s">
        <v>498</v>
      </c>
      <c r="F548" s="519"/>
      <c r="G548" s="734"/>
      <c r="H548" s="734"/>
      <c r="I548" s="734"/>
      <c r="J548" s="734"/>
      <c r="K548" s="383"/>
      <c r="L548" s="955"/>
      <c r="M548" s="955"/>
      <c r="N548" s="959">
        <v>161485.39000000001</v>
      </c>
      <c r="O548" s="839"/>
      <c r="P548" s="772"/>
      <c r="Q548" s="812"/>
      <c r="R548" s="953"/>
    </row>
    <row r="549" spans="1:18" s="440" customFormat="1" ht="36" customHeight="1">
      <c r="A549" s="424"/>
      <c r="B549" s="706"/>
      <c r="C549" s="450"/>
      <c r="D549" s="438"/>
      <c r="E549" s="954" t="s">
        <v>442</v>
      </c>
      <c r="F549" s="519"/>
      <c r="G549" s="734"/>
      <c r="H549" s="734"/>
      <c r="I549" s="734"/>
      <c r="J549" s="734"/>
      <c r="K549" s="383"/>
      <c r="L549" s="955"/>
      <c r="M549" s="955"/>
      <c r="N549" s="959">
        <v>0</v>
      </c>
      <c r="O549" s="839"/>
      <c r="P549" s="772"/>
      <c r="Q549" s="812"/>
      <c r="R549" s="953"/>
    </row>
    <row r="550" spans="1:18" s="440" customFormat="1" ht="36" customHeight="1">
      <c r="A550" s="424"/>
      <c r="B550" s="706"/>
      <c r="C550" s="450"/>
      <c r="D550" s="438"/>
      <c r="E550" s="954" t="s">
        <v>443</v>
      </c>
      <c r="F550" s="519"/>
      <c r="G550" s="734"/>
      <c r="H550" s="734"/>
      <c r="I550" s="734"/>
      <c r="J550" s="734"/>
      <c r="K550" s="383"/>
      <c r="L550" s="955"/>
      <c r="M550" s="955"/>
      <c r="N550" s="959">
        <v>65889.52</v>
      </c>
      <c r="O550" s="839"/>
      <c r="P550" s="772"/>
      <c r="Q550" s="812"/>
      <c r="R550" s="953"/>
    </row>
    <row r="551" spans="1:18" s="440" customFormat="1" ht="36" customHeight="1">
      <c r="A551" s="424"/>
      <c r="B551" s="706"/>
      <c r="C551" s="450"/>
      <c r="D551" s="438"/>
      <c r="E551" s="954" t="s">
        <v>469</v>
      </c>
      <c r="F551" s="519"/>
      <c r="G551" s="734"/>
      <c r="H551" s="734"/>
      <c r="I551" s="734"/>
      <c r="J551" s="734"/>
      <c r="K551" s="383"/>
      <c r="L551" s="955"/>
      <c r="M551" s="955"/>
      <c r="N551" s="959">
        <v>2629.5</v>
      </c>
      <c r="O551" s="839"/>
      <c r="P551" s="772"/>
      <c r="Q551" s="812"/>
      <c r="R551" s="953"/>
    </row>
    <row r="552" spans="1:18" s="440" customFormat="1" ht="38.25" customHeight="1">
      <c r="A552" s="424"/>
      <c r="B552" s="706"/>
      <c r="C552" s="450"/>
      <c r="D552" s="438"/>
      <c r="E552" s="954" t="s">
        <v>499</v>
      </c>
      <c r="F552" s="519"/>
      <c r="G552" s="734"/>
      <c r="H552" s="734"/>
      <c r="I552" s="734"/>
      <c r="J552" s="734"/>
      <c r="K552" s="383"/>
      <c r="L552" s="955"/>
      <c r="M552" s="955"/>
      <c r="N552" s="959">
        <v>12000</v>
      </c>
      <c r="O552" s="839"/>
      <c r="P552" s="772"/>
      <c r="Q552" s="812"/>
      <c r="R552" s="953"/>
    </row>
    <row r="553" spans="1:18" s="440" customFormat="1" ht="36" customHeight="1">
      <c r="A553" s="424"/>
      <c r="B553" s="706"/>
      <c r="C553" s="450"/>
      <c r="D553" s="438"/>
      <c r="E553" s="954" t="s">
        <v>446</v>
      </c>
      <c r="F553" s="519"/>
      <c r="G553" s="734"/>
      <c r="H553" s="734"/>
      <c r="I553" s="734"/>
      <c r="J553" s="734"/>
      <c r="K553" s="383"/>
      <c r="L553" s="955"/>
      <c r="M553" s="955"/>
      <c r="N553" s="959">
        <v>96997.73</v>
      </c>
      <c r="O553" s="839"/>
      <c r="P553" s="772"/>
      <c r="Q553" s="812"/>
      <c r="R553" s="953"/>
    </row>
    <row r="554" spans="1:18" s="440" customFormat="1" ht="57" customHeight="1">
      <c r="A554" s="424"/>
      <c r="B554" s="706"/>
      <c r="C554" s="489"/>
      <c r="D554" s="438"/>
      <c r="E554" s="945" t="s">
        <v>418</v>
      </c>
      <c r="F554" s="949">
        <v>117300</v>
      </c>
      <c r="G554" s="949">
        <v>111778</v>
      </c>
      <c r="H554" s="949">
        <v>74715.13</v>
      </c>
      <c r="I554" s="734"/>
      <c r="J554" s="734"/>
      <c r="K554" s="529"/>
      <c r="L554" s="949">
        <v>194000</v>
      </c>
      <c r="M554" s="949">
        <v>194000</v>
      </c>
      <c r="N554" s="956">
        <f>SUM(N555:N575)</f>
        <v>111812.82999999999</v>
      </c>
      <c r="O554" s="890">
        <f>N554/M554</f>
        <v>0.57635479381443289</v>
      </c>
      <c r="P554" s="772" t="s">
        <v>395</v>
      </c>
      <c r="Q554" s="812" t="s">
        <v>395</v>
      </c>
      <c r="R554" s="953"/>
    </row>
    <row r="555" spans="1:18" s="440" customFormat="1" ht="75" customHeight="1">
      <c r="A555" s="424"/>
      <c r="B555" s="706"/>
      <c r="C555" s="489"/>
      <c r="D555" s="438"/>
      <c r="E555" s="957" t="s">
        <v>447</v>
      </c>
      <c r="F555" s="958"/>
      <c r="G555" s="958"/>
      <c r="H555" s="958">
        <v>0</v>
      </c>
      <c r="I555" s="734"/>
      <c r="J555" s="734"/>
      <c r="K555" s="529"/>
      <c r="L555" s="958"/>
      <c r="M555" s="958"/>
      <c r="N555" s="959">
        <v>311.5</v>
      </c>
      <c r="O555" s="839"/>
      <c r="P555" s="772"/>
      <c r="Q555" s="812"/>
      <c r="R555" s="953"/>
    </row>
    <row r="556" spans="1:18" s="440" customFormat="1" ht="36" customHeight="1">
      <c r="A556" s="424"/>
      <c r="B556" s="706"/>
      <c r="C556" s="489"/>
      <c r="D556" s="438"/>
      <c r="E556" s="957" t="s">
        <v>448</v>
      </c>
      <c r="F556" s="958"/>
      <c r="G556" s="958"/>
      <c r="H556" s="958">
        <v>0</v>
      </c>
      <c r="I556" s="734"/>
      <c r="J556" s="734"/>
      <c r="K556" s="529"/>
      <c r="L556" s="958"/>
      <c r="M556" s="958"/>
      <c r="N556" s="959">
        <v>0</v>
      </c>
      <c r="O556" s="839"/>
      <c r="P556" s="772"/>
      <c r="Q556" s="812"/>
      <c r="R556" s="953"/>
    </row>
    <row r="557" spans="1:18" s="440" customFormat="1" ht="36" customHeight="1">
      <c r="A557" s="424"/>
      <c r="B557" s="706"/>
      <c r="C557" s="489"/>
      <c r="D557" s="438"/>
      <c r="E557" s="957" t="s">
        <v>449</v>
      </c>
      <c r="F557" s="958"/>
      <c r="G557" s="958"/>
      <c r="H557" s="958">
        <v>0</v>
      </c>
      <c r="I557" s="734"/>
      <c r="J557" s="734"/>
      <c r="K557" s="529"/>
      <c r="L557" s="958"/>
      <c r="M557" s="958"/>
      <c r="N557" s="959">
        <v>0</v>
      </c>
      <c r="O557" s="839"/>
      <c r="P557" s="772"/>
      <c r="Q557" s="812"/>
      <c r="R557" s="953"/>
    </row>
    <row r="558" spans="1:18" s="440" customFormat="1" ht="36" customHeight="1">
      <c r="A558" s="424"/>
      <c r="B558" s="706"/>
      <c r="C558" s="489"/>
      <c r="D558" s="438"/>
      <c r="E558" s="957" t="s">
        <v>450</v>
      </c>
      <c r="F558" s="958"/>
      <c r="G558" s="958"/>
      <c r="H558" s="958">
        <v>0</v>
      </c>
      <c r="I558" s="734"/>
      <c r="J558" s="734"/>
      <c r="K558" s="529"/>
      <c r="L558" s="958"/>
      <c r="M558" s="958"/>
      <c r="N558" s="959">
        <v>0</v>
      </c>
      <c r="O558" s="839"/>
      <c r="P558" s="772"/>
      <c r="Q558" s="812"/>
      <c r="R558" s="953"/>
    </row>
    <row r="559" spans="1:18" s="440" customFormat="1" ht="36" customHeight="1">
      <c r="A559" s="424"/>
      <c r="B559" s="706"/>
      <c r="C559" s="489"/>
      <c r="D559" s="438"/>
      <c r="E559" s="957" t="s">
        <v>451</v>
      </c>
      <c r="F559" s="958"/>
      <c r="G559" s="958"/>
      <c r="H559" s="958">
        <v>0</v>
      </c>
      <c r="I559" s="734"/>
      <c r="J559" s="734"/>
      <c r="K559" s="529"/>
      <c r="L559" s="958"/>
      <c r="M559" s="958"/>
      <c r="N559" s="959">
        <v>0</v>
      </c>
      <c r="O559" s="839"/>
      <c r="P559" s="772"/>
      <c r="Q559" s="812"/>
      <c r="R559" s="953"/>
    </row>
    <row r="560" spans="1:18" s="440" customFormat="1" ht="82.5" customHeight="1">
      <c r="A560" s="424"/>
      <c r="B560" s="706"/>
      <c r="C560" s="489"/>
      <c r="D560" s="438"/>
      <c r="E560" s="960" t="s">
        <v>500</v>
      </c>
      <c r="F560" s="958"/>
      <c r="G560" s="958"/>
      <c r="H560" s="958">
        <v>4300</v>
      </c>
      <c r="I560" s="734"/>
      <c r="J560" s="734"/>
      <c r="K560" s="529"/>
      <c r="L560" s="958"/>
      <c r="M560" s="958"/>
      <c r="N560" s="959">
        <v>10835.3</v>
      </c>
      <c r="O560" s="839"/>
      <c r="P560" s="772"/>
      <c r="Q560" s="812"/>
      <c r="R560" s="953"/>
    </row>
    <row r="561" spans="1:18" s="440" customFormat="1" ht="84" customHeight="1">
      <c r="A561" s="424"/>
      <c r="B561" s="706"/>
      <c r="C561" s="489"/>
      <c r="D561" s="438"/>
      <c r="E561" s="957" t="s">
        <v>452</v>
      </c>
      <c r="F561" s="958"/>
      <c r="G561" s="958"/>
      <c r="H561" s="958">
        <v>0</v>
      </c>
      <c r="I561" s="734"/>
      <c r="J561" s="734"/>
      <c r="K561" s="529"/>
      <c r="L561" s="958"/>
      <c r="M561" s="958"/>
      <c r="N561" s="959">
        <v>5901.02</v>
      </c>
      <c r="O561" s="839"/>
      <c r="P561" s="772"/>
      <c r="Q561" s="812"/>
      <c r="R561" s="953"/>
    </row>
    <row r="562" spans="1:18" s="440" customFormat="1" ht="61.5" customHeight="1">
      <c r="A562" s="424"/>
      <c r="B562" s="706"/>
      <c r="C562" s="489"/>
      <c r="D562" s="438"/>
      <c r="E562" s="957" t="s">
        <v>761</v>
      </c>
      <c r="F562" s="958"/>
      <c r="G562" s="958"/>
      <c r="H562" s="958">
        <v>0</v>
      </c>
      <c r="I562" s="734"/>
      <c r="J562" s="734"/>
      <c r="K562" s="529"/>
      <c r="L562" s="958"/>
      <c r="M562" s="958"/>
      <c r="N562" s="959">
        <v>709.7</v>
      </c>
      <c r="O562" s="839"/>
      <c r="P562" s="772"/>
      <c r="Q562" s="812"/>
      <c r="R562" s="953"/>
    </row>
    <row r="563" spans="1:18" s="440" customFormat="1" ht="54.75" customHeight="1">
      <c r="A563" s="424"/>
      <c r="B563" s="706"/>
      <c r="C563" s="489"/>
      <c r="D563" s="438"/>
      <c r="E563" s="957" t="s">
        <v>454</v>
      </c>
      <c r="F563" s="958"/>
      <c r="G563" s="958"/>
      <c r="H563" s="958">
        <v>0</v>
      </c>
      <c r="I563" s="734"/>
      <c r="J563" s="734"/>
      <c r="K563" s="529"/>
      <c r="L563" s="958"/>
      <c r="M563" s="958"/>
      <c r="N563" s="959">
        <v>3664.26</v>
      </c>
      <c r="O563" s="839"/>
      <c r="P563" s="772"/>
      <c r="Q563" s="812"/>
      <c r="R563" s="953"/>
    </row>
    <row r="564" spans="1:18" s="440" customFormat="1" ht="54.75" customHeight="1">
      <c r="A564" s="424"/>
      <c r="B564" s="706"/>
      <c r="C564" s="489"/>
      <c r="D564" s="438"/>
      <c r="E564" s="957" t="s">
        <v>455</v>
      </c>
      <c r="F564" s="958"/>
      <c r="G564" s="958"/>
      <c r="H564" s="958">
        <v>0</v>
      </c>
      <c r="I564" s="734"/>
      <c r="J564" s="734"/>
      <c r="K564" s="529"/>
      <c r="L564" s="958"/>
      <c r="M564" s="958"/>
      <c r="N564" s="959">
        <v>0</v>
      </c>
      <c r="O564" s="839"/>
      <c r="P564" s="772"/>
      <c r="Q564" s="812"/>
      <c r="R564" s="953"/>
    </row>
    <row r="565" spans="1:18" s="440" customFormat="1" ht="54.75" customHeight="1">
      <c r="A565" s="424"/>
      <c r="B565" s="706"/>
      <c r="C565" s="489"/>
      <c r="D565" s="438"/>
      <c r="E565" s="957" t="s">
        <v>456</v>
      </c>
      <c r="F565" s="958"/>
      <c r="G565" s="958"/>
      <c r="H565" s="958">
        <v>0</v>
      </c>
      <c r="I565" s="734"/>
      <c r="J565" s="734"/>
      <c r="K565" s="529"/>
      <c r="L565" s="958"/>
      <c r="M565" s="958"/>
      <c r="N565" s="959">
        <v>625.86</v>
      </c>
      <c r="O565" s="839"/>
      <c r="P565" s="772"/>
      <c r="Q565" s="812"/>
      <c r="R565" s="953"/>
    </row>
    <row r="566" spans="1:18" s="440" customFormat="1" ht="54.75" customHeight="1">
      <c r="A566" s="424"/>
      <c r="B566" s="706"/>
      <c r="C566" s="489"/>
      <c r="D566" s="438"/>
      <c r="E566" s="957" t="s">
        <v>457</v>
      </c>
      <c r="F566" s="958"/>
      <c r="G566" s="958"/>
      <c r="H566" s="958">
        <v>0</v>
      </c>
      <c r="I566" s="734"/>
      <c r="J566" s="734"/>
      <c r="K566" s="529"/>
      <c r="L566" s="958"/>
      <c r="M566" s="958"/>
      <c r="N566" s="959">
        <v>0</v>
      </c>
      <c r="O566" s="839"/>
      <c r="P566" s="772"/>
      <c r="Q566" s="812"/>
      <c r="R566" s="953"/>
    </row>
    <row r="567" spans="1:18" s="440" customFormat="1" ht="36" customHeight="1">
      <c r="A567" s="424"/>
      <c r="B567" s="706"/>
      <c r="C567" s="489"/>
      <c r="D567" s="438"/>
      <c r="E567" s="957" t="s">
        <v>458</v>
      </c>
      <c r="F567" s="961"/>
      <c r="G567" s="961"/>
      <c r="H567" s="958">
        <v>32231.32</v>
      </c>
      <c r="I567" s="734"/>
      <c r="J567" s="734"/>
      <c r="K567" s="529"/>
      <c r="L567" s="961"/>
      <c r="M567" s="961"/>
      <c r="N567" s="959">
        <v>27570.09</v>
      </c>
      <c r="O567" s="839"/>
      <c r="P567" s="772"/>
      <c r="Q567" s="812"/>
      <c r="R567" s="953"/>
    </row>
    <row r="568" spans="1:18" s="440" customFormat="1" ht="36" customHeight="1">
      <c r="A568" s="424"/>
      <c r="B568" s="706"/>
      <c r="C568" s="489"/>
      <c r="D568" s="438"/>
      <c r="E568" s="957" t="s">
        <v>459</v>
      </c>
      <c r="F568" s="961"/>
      <c r="G568" s="961"/>
      <c r="H568" s="958">
        <v>0</v>
      </c>
      <c r="I568" s="734"/>
      <c r="J568" s="734"/>
      <c r="K568" s="529"/>
      <c r="L568" s="961"/>
      <c r="M568" s="961"/>
      <c r="N568" s="959">
        <v>4090.22</v>
      </c>
      <c r="O568" s="839"/>
      <c r="P568" s="772"/>
      <c r="Q568" s="812"/>
      <c r="R568" s="953"/>
    </row>
    <row r="569" spans="1:18" s="440" customFormat="1" ht="36" customHeight="1">
      <c r="A569" s="424"/>
      <c r="B569" s="706"/>
      <c r="C569" s="489"/>
      <c r="D569" s="438"/>
      <c r="E569" s="957" t="s">
        <v>460</v>
      </c>
      <c r="F569" s="961"/>
      <c r="G569" s="961"/>
      <c r="H569" s="958">
        <v>692</v>
      </c>
      <c r="I569" s="734"/>
      <c r="J569" s="734"/>
      <c r="K569" s="529"/>
      <c r="L569" s="961"/>
      <c r="M569" s="961"/>
      <c r="N569" s="959">
        <v>391.26</v>
      </c>
      <c r="O569" s="839"/>
      <c r="P569" s="772"/>
      <c r="Q569" s="812"/>
      <c r="R569" s="953"/>
    </row>
    <row r="570" spans="1:18" s="440" customFormat="1" ht="36" customHeight="1">
      <c r="A570" s="424"/>
      <c r="B570" s="706"/>
      <c r="C570" s="489"/>
      <c r="D570" s="438"/>
      <c r="E570" s="957" t="s">
        <v>461</v>
      </c>
      <c r="F570" s="961"/>
      <c r="G570" s="961"/>
      <c r="H570" s="958">
        <v>35817</v>
      </c>
      <c r="I570" s="734"/>
      <c r="J570" s="734"/>
      <c r="K570" s="529"/>
      <c r="L570" s="961"/>
      <c r="M570" s="961"/>
      <c r="N570" s="959">
        <v>50220</v>
      </c>
      <c r="O570" s="839"/>
      <c r="P570" s="772"/>
      <c r="Q570" s="812"/>
      <c r="R570" s="953"/>
    </row>
    <row r="571" spans="1:18" s="440" customFormat="1" ht="36" customHeight="1">
      <c r="A571" s="424"/>
      <c r="B571" s="706"/>
      <c r="C571" s="489"/>
      <c r="D571" s="438"/>
      <c r="E571" s="957" t="s">
        <v>462</v>
      </c>
      <c r="F571" s="961"/>
      <c r="G571" s="961"/>
      <c r="H571" s="958">
        <v>0</v>
      </c>
      <c r="I571" s="734"/>
      <c r="J571" s="734"/>
      <c r="K571" s="529"/>
      <c r="L571" s="961"/>
      <c r="M571" s="961"/>
      <c r="N571" s="959">
        <v>0</v>
      </c>
      <c r="O571" s="839"/>
      <c r="P571" s="772"/>
      <c r="Q571" s="812"/>
      <c r="R571" s="953"/>
    </row>
    <row r="572" spans="1:18" s="440" customFormat="1" ht="54.75" customHeight="1">
      <c r="A572" s="424"/>
      <c r="B572" s="706"/>
      <c r="C572" s="489"/>
      <c r="D572" s="438"/>
      <c r="E572" s="957" t="s">
        <v>463</v>
      </c>
      <c r="F572" s="961"/>
      <c r="G572" s="961"/>
      <c r="H572" s="958">
        <v>0</v>
      </c>
      <c r="I572" s="734"/>
      <c r="J572" s="734"/>
      <c r="K572" s="529"/>
      <c r="L572" s="961"/>
      <c r="M572" s="961"/>
      <c r="N572" s="959">
        <v>0</v>
      </c>
      <c r="O572" s="839"/>
      <c r="P572" s="772"/>
      <c r="Q572" s="812"/>
      <c r="R572" s="953"/>
    </row>
    <row r="573" spans="1:18" s="440" customFormat="1" ht="36" customHeight="1">
      <c r="A573" s="424"/>
      <c r="B573" s="706"/>
      <c r="C573" s="489"/>
      <c r="D573" s="438"/>
      <c r="E573" s="957" t="s">
        <v>464</v>
      </c>
      <c r="F573" s="961"/>
      <c r="G573" s="961"/>
      <c r="H573" s="958">
        <v>0</v>
      </c>
      <c r="I573" s="734"/>
      <c r="J573" s="734"/>
      <c r="K573" s="529"/>
      <c r="L573" s="961"/>
      <c r="M573" s="961"/>
      <c r="N573" s="959">
        <v>0</v>
      </c>
      <c r="O573" s="839"/>
      <c r="P573" s="772"/>
      <c r="Q573" s="812"/>
      <c r="R573" s="953"/>
    </row>
    <row r="574" spans="1:18" s="440" customFormat="1" ht="36" customHeight="1">
      <c r="A574" s="424"/>
      <c r="B574" s="706"/>
      <c r="C574" s="489"/>
      <c r="D574" s="438"/>
      <c r="E574" s="957" t="s">
        <v>465</v>
      </c>
      <c r="F574" s="961"/>
      <c r="G574" s="961"/>
      <c r="H574" s="958">
        <v>0</v>
      </c>
      <c r="I574" s="734"/>
      <c r="J574" s="734"/>
      <c r="K574" s="529"/>
      <c r="L574" s="961"/>
      <c r="M574" s="961"/>
      <c r="N574" s="959">
        <v>240</v>
      </c>
      <c r="O574" s="839"/>
      <c r="P574" s="772"/>
      <c r="Q574" s="812"/>
      <c r="R574" s="953"/>
    </row>
    <row r="575" spans="1:18" s="440" customFormat="1" ht="40.5" customHeight="1">
      <c r="A575" s="424"/>
      <c r="B575" s="706"/>
      <c r="C575" s="489"/>
      <c r="D575" s="438"/>
      <c r="E575" s="957" t="s">
        <v>466</v>
      </c>
      <c r="F575" s="961"/>
      <c r="G575" s="961"/>
      <c r="H575" s="958">
        <v>1674.81</v>
      </c>
      <c r="I575" s="734"/>
      <c r="J575" s="734"/>
      <c r="K575" s="529"/>
      <c r="L575" s="961"/>
      <c r="M575" s="961"/>
      <c r="N575" s="959">
        <v>7253.62</v>
      </c>
      <c r="O575" s="839"/>
      <c r="P575" s="772"/>
      <c r="Q575" s="812"/>
      <c r="R575" s="953"/>
    </row>
    <row r="576" spans="1:18" s="440" customFormat="1" ht="57" customHeight="1">
      <c r="A576" s="424"/>
      <c r="B576" s="706"/>
      <c r="C576" s="489"/>
      <c r="D576" s="438"/>
      <c r="E576" s="945" t="s">
        <v>467</v>
      </c>
      <c r="F576" s="949">
        <v>117300</v>
      </c>
      <c r="G576" s="949">
        <v>111778</v>
      </c>
      <c r="H576" s="949">
        <v>74715.13</v>
      </c>
      <c r="I576" s="734"/>
      <c r="J576" s="734"/>
      <c r="K576" s="529"/>
      <c r="L576" s="949">
        <f>L577</f>
        <v>0</v>
      </c>
      <c r="M576" s="949">
        <f t="shared" ref="M576:N576" si="74">M577</f>
        <v>40000</v>
      </c>
      <c r="N576" s="949">
        <f t="shared" si="74"/>
        <v>0</v>
      </c>
      <c r="O576" s="890">
        <v>0</v>
      </c>
      <c r="P576" s="772" t="s">
        <v>395</v>
      </c>
      <c r="Q576" s="812"/>
      <c r="R576" s="953"/>
    </row>
    <row r="577" spans="1:18" s="440" customFormat="1" ht="63" customHeight="1">
      <c r="A577" s="424"/>
      <c r="B577" s="214"/>
      <c r="C577" s="974"/>
      <c r="D577" s="975"/>
      <c r="E577" s="1006" t="s">
        <v>762</v>
      </c>
      <c r="F577" s="517"/>
      <c r="G577" s="212"/>
      <c r="H577" s="212"/>
      <c r="I577" s="212"/>
      <c r="J577" s="212"/>
      <c r="K577" s="89"/>
      <c r="L577" s="89">
        <v>0</v>
      </c>
      <c r="M577" s="89">
        <v>40000</v>
      </c>
      <c r="N577" s="89">
        <v>0</v>
      </c>
      <c r="O577" s="835">
        <v>0</v>
      </c>
      <c r="P577" s="772"/>
      <c r="Q577" s="656"/>
    </row>
    <row r="578" spans="1:18" s="268" customFormat="1" ht="50.1" customHeight="1">
      <c r="A578" s="559"/>
      <c r="B578" s="61"/>
      <c r="C578" s="453">
        <v>3</v>
      </c>
      <c r="D578" s="454"/>
      <c r="E578" s="285" t="s">
        <v>508</v>
      </c>
      <c r="F578" s="520"/>
      <c r="G578" s="520"/>
      <c r="H578" s="520"/>
      <c r="I578" s="520"/>
      <c r="J578" s="520"/>
      <c r="K578" s="452">
        <v>1145000</v>
      </c>
      <c r="L578" s="452">
        <f>L579+L598+L620</f>
        <v>1145000</v>
      </c>
      <c r="M578" s="452">
        <f t="shared" ref="M578:N578" si="75">M579+M598+M620</f>
        <v>1097161</v>
      </c>
      <c r="N578" s="452">
        <f t="shared" si="75"/>
        <v>624266.53999999992</v>
      </c>
      <c r="O578" s="873">
        <f>N578/M578</f>
        <v>0.56898353113171163</v>
      </c>
      <c r="P578" s="765" t="s">
        <v>395</v>
      </c>
      <c r="Q578" s="651"/>
    </row>
    <row r="579" spans="1:18" s="431" customFormat="1" ht="39.9" customHeight="1">
      <c r="A579" s="987"/>
      <c r="B579" s="944"/>
      <c r="C579" s="458"/>
      <c r="D579" s="444"/>
      <c r="E579" s="945" t="s">
        <v>412</v>
      </c>
      <c r="F579" s="976"/>
      <c r="G579" s="946"/>
      <c r="H579" s="946"/>
      <c r="I579" s="946"/>
      <c r="J579" s="947"/>
      <c r="K579" s="948"/>
      <c r="L579" s="949">
        <v>953000</v>
      </c>
      <c r="M579" s="949">
        <v>900485</v>
      </c>
      <c r="N579" s="977">
        <f>SUM(N581:N597)</f>
        <v>514164.48999999993</v>
      </c>
      <c r="O579" s="978">
        <f>N579/M579</f>
        <v>0.57098617966984455</v>
      </c>
      <c r="P579" s="780" t="s">
        <v>395</v>
      </c>
      <c r="Q579" s="908"/>
      <c r="R579" s="951"/>
    </row>
    <row r="580" spans="1:18" s="440" customFormat="1" ht="34.5" customHeight="1">
      <c r="A580" s="984"/>
      <c r="B580" s="972"/>
      <c r="C580" s="450"/>
      <c r="D580" s="438"/>
      <c r="E580" s="952" t="s">
        <v>13</v>
      </c>
      <c r="F580" s="985"/>
      <c r="G580" s="973"/>
      <c r="H580" s="973"/>
      <c r="I580" s="973"/>
      <c r="J580" s="973"/>
      <c r="K580" s="383"/>
      <c r="L580" s="980"/>
      <c r="M580" s="980" t="s">
        <v>305</v>
      </c>
      <c r="N580" s="980"/>
      <c r="O580" s="981"/>
      <c r="P580" s="772"/>
      <c r="Q580" s="812"/>
      <c r="R580" s="953"/>
    </row>
    <row r="581" spans="1:18" s="440" customFormat="1" ht="57" customHeight="1">
      <c r="A581" s="984"/>
      <c r="B581" s="972"/>
      <c r="C581" s="450"/>
      <c r="D581" s="425"/>
      <c r="E581" s="954" t="s">
        <v>502</v>
      </c>
      <c r="F581" s="985"/>
      <c r="G581" s="973"/>
      <c r="H581" s="973"/>
      <c r="I581" s="973"/>
      <c r="J581" s="973"/>
      <c r="K581" s="383"/>
      <c r="L581" s="955"/>
      <c r="M581" s="955"/>
      <c r="N581" s="983">
        <v>198747.48</v>
      </c>
      <c r="O581" s="981"/>
      <c r="P581" s="772"/>
      <c r="Q581" s="812"/>
      <c r="R581" s="953"/>
    </row>
    <row r="582" spans="1:18" s="440" customFormat="1" ht="57" customHeight="1">
      <c r="A582" s="984"/>
      <c r="B582" s="972"/>
      <c r="C582" s="450"/>
      <c r="D582" s="438"/>
      <c r="E582" s="954" t="s">
        <v>503</v>
      </c>
      <c r="F582" s="985"/>
      <c r="G582" s="973"/>
      <c r="H582" s="973"/>
      <c r="I582" s="973"/>
      <c r="J582" s="973"/>
      <c r="K582" s="383"/>
      <c r="L582" s="955"/>
      <c r="M582" s="955"/>
      <c r="N582" s="983">
        <v>44215.199999999997</v>
      </c>
      <c r="O582" s="981"/>
      <c r="P582" s="772"/>
      <c r="Q582" s="812"/>
      <c r="R582" s="953"/>
    </row>
    <row r="583" spans="1:18" s="440" customFormat="1" ht="36" customHeight="1">
      <c r="A583" s="984"/>
      <c r="B583" s="972"/>
      <c r="C583" s="450"/>
      <c r="D583" s="438"/>
      <c r="E583" s="954" t="s">
        <v>479</v>
      </c>
      <c r="F583" s="985"/>
      <c r="G583" s="973"/>
      <c r="H583" s="973"/>
      <c r="I583" s="973"/>
      <c r="J583" s="973"/>
      <c r="K583" s="383"/>
      <c r="L583" s="955"/>
      <c r="M583" s="955"/>
      <c r="N583" s="983">
        <v>0</v>
      </c>
      <c r="O583" s="981"/>
      <c r="P583" s="772"/>
      <c r="Q583" s="812"/>
      <c r="R583" s="953"/>
    </row>
    <row r="584" spans="1:18" s="440" customFormat="1" ht="57" customHeight="1">
      <c r="A584" s="984"/>
      <c r="B584" s="972"/>
      <c r="C584" s="450"/>
      <c r="D584" s="438"/>
      <c r="E584" s="954" t="s">
        <v>504</v>
      </c>
      <c r="F584" s="985"/>
      <c r="G584" s="973"/>
      <c r="H584" s="973"/>
      <c r="I584" s="973"/>
      <c r="J584" s="973"/>
      <c r="K584" s="383"/>
      <c r="L584" s="955"/>
      <c r="M584" s="955"/>
      <c r="N584" s="983">
        <v>13677.52</v>
      </c>
      <c r="O584" s="981"/>
      <c r="P584" s="772"/>
      <c r="Q584" s="812"/>
      <c r="R584" s="953"/>
    </row>
    <row r="585" spans="1:18" s="440" customFormat="1" ht="36" customHeight="1">
      <c r="A585" s="984"/>
      <c r="B585" s="972"/>
      <c r="C585" s="450"/>
      <c r="D585" s="438"/>
      <c r="E585" s="954" t="s">
        <v>436</v>
      </c>
      <c r="F585" s="985"/>
      <c r="G585" s="973"/>
      <c r="H585" s="973"/>
      <c r="I585" s="973"/>
      <c r="J585" s="973"/>
      <c r="K585" s="383"/>
      <c r="L585" s="955"/>
      <c r="M585" s="955"/>
      <c r="N585" s="983">
        <v>0</v>
      </c>
      <c r="O585" s="981"/>
      <c r="P585" s="772"/>
      <c r="Q585" s="812"/>
      <c r="R585" s="953"/>
    </row>
    <row r="586" spans="1:18" s="440" customFormat="1" ht="36" customHeight="1">
      <c r="A586" s="984"/>
      <c r="B586" s="972"/>
      <c r="C586" s="450"/>
      <c r="D586" s="438"/>
      <c r="E586" s="954" t="s">
        <v>437</v>
      </c>
      <c r="F586" s="985"/>
      <c r="G586" s="973"/>
      <c r="H586" s="973"/>
      <c r="I586" s="973"/>
      <c r="J586" s="973"/>
      <c r="K586" s="383"/>
      <c r="L586" s="955"/>
      <c r="M586" s="955"/>
      <c r="N586" s="983">
        <v>0</v>
      </c>
      <c r="O586" s="981"/>
      <c r="P586" s="772"/>
      <c r="Q586" s="812"/>
      <c r="R586" s="953"/>
    </row>
    <row r="587" spans="1:18" s="440" customFormat="1" ht="36" customHeight="1">
      <c r="A587" s="984"/>
      <c r="B587" s="972"/>
      <c r="C587" s="450"/>
      <c r="D587" s="438"/>
      <c r="E587" s="954" t="s">
        <v>438</v>
      </c>
      <c r="F587" s="985"/>
      <c r="G587" s="973"/>
      <c r="H587" s="973"/>
      <c r="I587" s="973"/>
      <c r="J587" s="973"/>
      <c r="K587" s="383"/>
      <c r="L587" s="955"/>
      <c r="M587" s="955"/>
      <c r="N587" s="983">
        <v>0</v>
      </c>
      <c r="O587" s="981"/>
      <c r="P587" s="772"/>
      <c r="Q587" s="812"/>
      <c r="R587" s="953"/>
    </row>
    <row r="588" spans="1:18" s="440" customFormat="1" ht="36" customHeight="1">
      <c r="A588" s="984"/>
      <c r="B588" s="972"/>
      <c r="C588" s="450"/>
      <c r="D588" s="438"/>
      <c r="E588" s="954" t="s">
        <v>505</v>
      </c>
      <c r="F588" s="985"/>
      <c r="G588" s="973"/>
      <c r="H588" s="973"/>
      <c r="I588" s="973"/>
      <c r="J588" s="973"/>
      <c r="K588" s="383"/>
      <c r="L588" s="955"/>
      <c r="M588" s="955"/>
      <c r="N588" s="983">
        <v>1093.28</v>
      </c>
      <c r="O588" s="981"/>
      <c r="P588" s="772"/>
      <c r="Q588" s="812"/>
      <c r="R588" s="953"/>
    </row>
    <row r="589" spans="1:18" s="440" customFormat="1" ht="36" customHeight="1">
      <c r="A589" s="984"/>
      <c r="B589" s="972"/>
      <c r="C589" s="450"/>
      <c r="D589" s="438"/>
      <c r="E589" s="954" t="s">
        <v>439</v>
      </c>
      <c r="F589" s="985"/>
      <c r="G589" s="973"/>
      <c r="H589" s="973"/>
      <c r="I589" s="973"/>
      <c r="J589" s="973"/>
      <c r="K589" s="383"/>
      <c r="L589" s="955"/>
      <c r="M589" s="955"/>
      <c r="N589" s="983">
        <v>0</v>
      </c>
      <c r="O589" s="981"/>
      <c r="P589" s="772"/>
      <c r="Q589" s="812"/>
      <c r="R589" s="953"/>
    </row>
    <row r="590" spans="1:18" s="440" customFormat="1" ht="36" customHeight="1">
      <c r="A590" s="984"/>
      <c r="B590" s="972"/>
      <c r="C590" s="450"/>
      <c r="D590" s="438"/>
      <c r="E590" s="954" t="s">
        <v>440</v>
      </c>
      <c r="F590" s="985"/>
      <c r="G590" s="973"/>
      <c r="H590" s="973"/>
      <c r="I590" s="973"/>
      <c r="J590" s="973"/>
      <c r="K590" s="383"/>
      <c r="L590" s="955"/>
      <c r="M590" s="955"/>
      <c r="N590" s="983">
        <v>0</v>
      </c>
      <c r="O590" s="981"/>
      <c r="P590" s="772"/>
      <c r="Q590" s="812"/>
      <c r="R590" s="953"/>
    </row>
    <row r="591" spans="1:18" s="440" customFormat="1" ht="36" customHeight="1">
      <c r="A591" s="984"/>
      <c r="B591" s="972"/>
      <c r="C591" s="450"/>
      <c r="D591" s="438"/>
      <c r="E591" s="954" t="s">
        <v>441</v>
      </c>
      <c r="F591" s="985"/>
      <c r="G591" s="973"/>
      <c r="H591" s="973"/>
      <c r="I591" s="973"/>
      <c r="J591" s="973"/>
      <c r="K591" s="383"/>
      <c r="L591" s="955"/>
      <c r="M591" s="955"/>
      <c r="N591" s="983">
        <v>0</v>
      </c>
      <c r="O591" s="981"/>
      <c r="P591" s="772"/>
      <c r="Q591" s="812"/>
      <c r="R591" s="953"/>
    </row>
    <row r="592" spans="1:18" s="440" customFormat="1" ht="57" customHeight="1">
      <c r="A592" s="984"/>
      <c r="B592" s="972"/>
      <c r="C592" s="450"/>
      <c r="D592" s="438"/>
      <c r="E592" s="954" t="s">
        <v>506</v>
      </c>
      <c r="F592" s="985"/>
      <c r="G592" s="973"/>
      <c r="H592" s="973"/>
      <c r="I592" s="973"/>
      <c r="J592" s="973"/>
      <c r="K592" s="383"/>
      <c r="L592" s="955"/>
      <c r="M592" s="955"/>
      <c r="N592" s="983">
        <v>121902.54</v>
      </c>
      <c r="O592" s="981"/>
      <c r="P592" s="772"/>
      <c r="Q592" s="812"/>
      <c r="R592" s="953"/>
    </row>
    <row r="593" spans="1:18" s="440" customFormat="1" ht="36" customHeight="1">
      <c r="A593" s="984"/>
      <c r="B593" s="972"/>
      <c r="C593" s="450"/>
      <c r="D593" s="438"/>
      <c r="E593" s="954" t="s">
        <v>442</v>
      </c>
      <c r="F593" s="985"/>
      <c r="G593" s="973"/>
      <c r="H593" s="973"/>
      <c r="I593" s="973"/>
      <c r="J593" s="973"/>
      <c r="K593" s="383"/>
      <c r="L593" s="955"/>
      <c r="M593" s="955"/>
      <c r="N593" s="983">
        <v>0</v>
      </c>
      <c r="O593" s="981"/>
      <c r="P593" s="772"/>
      <c r="Q593" s="812"/>
      <c r="R593" s="953"/>
    </row>
    <row r="594" spans="1:18" s="440" customFormat="1" ht="36" customHeight="1">
      <c r="A594" s="984"/>
      <c r="B594" s="972"/>
      <c r="C594" s="450"/>
      <c r="D594" s="438"/>
      <c r="E594" s="954" t="s">
        <v>443</v>
      </c>
      <c r="F594" s="985"/>
      <c r="G594" s="973"/>
      <c r="H594" s="973"/>
      <c r="I594" s="973"/>
      <c r="J594" s="973"/>
      <c r="K594" s="383"/>
      <c r="L594" s="955"/>
      <c r="M594" s="955"/>
      <c r="N594" s="983">
        <v>57239.1</v>
      </c>
      <c r="O594" s="981"/>
      <c r="P594" s="772"/>
      <c r="Q594" s="812"/>
      <c r="R594" s="953"/>
    </row>
    <row r="595" spans="1:18" s="440" customFormat="1" ht="36" customHeight="1">
      <c r="A595" s="984"/>
      <c r="B595" s="972"/>
      <c r="C595" s="450"/>
      <c r="D595" s="438"/>
      <c r="E595" s="954" t="s">
        <v>482</v>
      </c>
      <c r="F595" s="985"/>
      <c r="G595" s="973"/>
      <c r="H595" s="973"/>
      <c r="I595" s="973"/>
      <c r="J595" s="973"/>
      <c r="K595" s="383"/>
      <c r="L595" s="955"/>
      <c r="M595" s="955"/>
      <c r="N595" s="983">
        <v>2629.5</v>
      </c>
      <c r="O595" s="981"/>
      <c r="P595" s="772"/>
      <c r="Q595" s="812"/>
      <c r="R595" s="953"/>
    </row>
    <row r="596" spans="1:18" s="440" customFormat="1" ht="36" customHeight="1">
      <c r="A596" s="984"/>
      <c r="B596" s="972"/>
      <c r="C596" s="450"/>
      <c r="D596" s="438"/>
      <c r="E596" s="954" t="s">
        <v>445</v>
      </c>
      <c r="F596" s="985"/>
      <c r="G596" s="973"/>
      <c r="H596" s="973"/>
      <c r="I596" s="973"/>
      <c r="J596" s="973"/>
      <c r="K596" s="383"/>
      <c r="L596" s="955"/>
      <c r="M596" s="955"/>
      <c r="N596" s="983">
        <v>0</v>
      </c>
      <c r="O596" s="981"/>
      <c r="P596" s="772"/>
      <c r="Q596" s="812"/>
      <c r="R596" s="953"/>
    </row>
    <row r="597" spans="1:18" s="440" customFormat="1" ht="36" customHeight="1">
      <c r="A597" s="984"/>
      <c r="B597" s="972"/>
      <c r="C597" s="450"/>
      <c r="D597" s="438"/>
      <c r="E597" s="954" t="s">
        <v>446</v>
      </c>
      <c r="F597" s="985"/>
      <c r="G597" s="973"/>
      <c r="H597" s="973"/>
      <c r="I597" s="973"/>
      <c r="J597" s="973"/>
      <c r="K597" s="383"/>
      <c r="L597" s="955"/>
      <c r="M597" s="955"/>
      <c r="N597" s="983">
        <v>74659.87</v>
      </c>
      <c r="O597" s="981"/>
      <c r="P597" s="772"/>
      <c r="Q597" s="812"/>
      <c r="R597" s="953"/>
    </row>
    <row r="598" spans="1:18" s="440" customFormat="1" ht="57" customHeight="1">
      <c r="A598" s="984"/>
      <c r="B598" s="972"/>
      <c r="C598" s="986"/>
      <c r="D598" s="438"/>
      <c r="E598" s="945" t="s">
        <v>418</v>
      </c>
      <c r="F598" s="949">
        <v>117300</v>
      </c>
      <c r="G598" s="949">
        <v>111778</v>
      </c>
      <c r="H598" s="949">
        <v>74715.13</v>
      </c>
      <c r="I598" s="973"/>
      <c r="J598" s="973"/>
      <c r="K598" s="529"/>
      <c r="L598" s="949">
        <v>192000</v>
      </c>
      <c r="M598" s="949">
        <v>196676</v>
      </c>
      <c r="N598" s="977">
        <f>SUM(N599:N619)</f>
        <v>110102.05</v>
      </c>
      <c r="O598" s="978">
        <f>N598/M598</f>
        <v>0.55981436474201229</v>
      </c>
      <c r="P598" s="772" t="s">
        <v>395</v>
      </c>
      <c r="Q598" s="812"/>
      <c r="R598" s="953"/>
    </row>
    <row r="599" spans="1:18" s="440" customFormat="1" ht="75" customHeight="1">
      <c r="A599" s="984"/>
      <c r="B599" s="972"/>
      <c r="C599" s="986"/>
      <c r="D599" s="438"/>
      <c r="E599" s="957" t="s">
        <v>447</v>
      </c>
      <c r="F599" s="958"/>
      <c r="G599" s="958"/>
      <c r="H599" s="958">
        <v>0</v>
      </c>
      <c r="I599" s="973"/>
      <c r="J599" s="973"/>
      <c r="K599" s="529"/>
      <c r="L599" s="958"/>
      <c r="M599" s="958"/>
      <c r="N599" s="983">
        <v>0</v>
      </c>
      <c r="O599" s="981"/>
      <c r="P599" s="772"/>
      <c r="Q599" s="812"/>
      <c r="R599" s="953"/>
    </row>
    <row r="600" spans="1:18" s="440" customFormat="1" ht="36" customHeight="1">
      <c r="A600" s="984"/>
      <c r="B600" s="972"/>
      <c r="C600" s="986"/>
      <c r="D600" s="438"/>
      <c r="E600" s="957" t="s">
        <v>448</v>
      </c>
      <c r="F600" s="958"/>
      <c r="G600" s="958"/>
      <c r="H600" s="958">
        <v>0</v>
      </c>
      <c r="I600" s="973"/>
      <c r="J600" s="973"/>
      <c r="K600" s="529"/>
      <c r="L600" s="958"/>
      <c r="M600" s="958"/>
      <c r="N600" s="983">
        <v>559</v>
      </c>
      <c r="O600" s="981"/>
      <c r="P600" s="772"/>
      <c r="Q600" s="812"/>
      <c r="R600" s="953"/>
    </row>
    <row r="601" spans="1:18" s="440" customFormat="1" ht="36" customHeight="1">
      <c r="A601" s="984"/>
      <c r="B601" s="972"/>
      <c r="C601" s="986"/>
      <c r="D601" s="438"/>
      <c r="E601" s="957" t="s">
        <v>449</v>
      </c>
      <c r="F601" s="958"/>
      <c r="G601" s="958"/>
      <c r="H601" s="958">
        <v>0</v>
      </c>
      <c r="I601" s="973"/>
      <c r="J601" s="973"/>
      <c r="K601" s="529"/>
      <c r="L601" s="958"/>
      <c r="M601" s="958"/>
      <c r="N601" s="983">
        <v>0</v>
      </c>
      <c r="O601" s="981"/>
      <c r="P601" s="772"/>
      <c r="Q601" s="812"/>
      <c r="R601" s="953"/>
    </row>
    <row r="602" spans="1:18" s="440" customFormat="1" ht="36" customHeight="1">
      <c r="A602" s="984"/>
      <c r="B602" s="972"/>
      <c r="C602" s="986"/>
      <c r="D602" s="438"/>
      <c r="E602" s="957" t="s">
        <v>450</v>
      </c>
      <c r="F602" s="958"/>
      <c r="G602" s="958"/>
      <c r="H602" s="958">
        <v>0</v>
      </c>
      <c r="I602" s="973"/>
      <c r="J602" s="973"/>
      <c r="K602" s="529"/>
      <c r="L602" s="958"/>
      <c r="M602" s="958"/>
      <c r="N602" s="983">
        <v>0</v>
      </c>
      <c r="O602" s="981"/>
      <c r="P602" s="772"/>
      <c r="Q602" s="812"/>
      <c r="R602" s="953"/>
    </row>
    <row r="603" spans="1:18" s="440" customFormat="1" ht="36" customHeight="1">
      <c r="A603" s="984"/>
      <c r="B603" s="972"/>
      <c r="C603" s="986"/>
      <c r="D603" s="438"/>
      <c r="E603" s="957" t="s">
        <v>451</v>
      </c>
      <c r="F603" s="958"/>
      <c r="G603" s="958"/>
      <c r="H603" s="958">
        <v>0</v>
      </c>
      <c r="I603" s="973"/>
      <c r="J603" s="973"/>
      <c r="K603" s="529"/>
      <c r="L603" s="958"/>
      <c r="M603" s="958"/>
      <c r="N603" s="983">
        <v>0</v>
      </c>
      <c r="O603" s="981"/>
      <c r="P603" s="772"/>
      <c r="Q603" s="812"/>
      <c r="R603" s="953"/>
    </row>
    <row r="604" spans="1:18" s="440" customFormat="1" ht="61.5" customHeight="1">
      <c r="A604" s="984"/>
      <c r="B604" s="972"/>
      <c r="C604" s="986"/>
      <c r="D604" s="438"/>
      <c r="E604" s="960" t="s">
        <v>763</v>
      </c>
      <c r="F604" s="958"/>
      <c r="G604" s="958"/>
      <c r="H604" s="958">
        <v>4300</v>
      </c>
      <c r="I604" s="973"/>
      <c r="J604" s="973"/>
      <c r="K604" s="529"/>
      <c r="L604" s="958"/>
      <c r="M604" s="958"/>
      <c r="N604" s="983">
        <v>4377.74</v>
      </c>
      <c r="O604" s="981"/>
      <c r="P604" s="772"/>
      <c r="Q604" s="812"/>
      <c r="R604" s="953"/>
    </row>
    <row r="605" spans="1:18" s="440" customFormat="1" ht="84" customHeight="1">
      <c r="A605" s="984"/>
      <c r="B605" s="972"/>
      <c r="C605" s="986"/>
      <c r="D605" s="438"/>
      <c r="E605" s="957" t="s">
        <v>452</v>
      </c>
      <c r="F605" s="958"/>
      <c r="G605" s="958"/>
      <c r="H605" s="958">
        <v>0</v>
      </c>
      <c r="I605" s="973"/>
      <c r="J605" s="973"/>
      <c r="K605" s="529"/>
      <c r="L605" s="958"/>
      <c r="M605" s="958"/>
      <c r="N605" s="983">
        <v>7039.9</v>
      </c>
      <c r="O605" s="981"/>
      <c r="P605" s="772"/>
      <c r="Q605" s="812"/>
      <c r="R605" s="953"/>
    </row>
    <row r="606" spans="1:18" s="440" customFormat="1" ht="61.5" customHeight="1">
      <c r="A606" s="984"/>
      <c r="B606" s="972"/>
      <c r="C606" s="986"/>
      <c r="D606" s="438"/>
      <c r="E606" s="957" t="s">
        <v>453</v>
      </c>
      <c r="F606" s="958"/>
      <c r="G606" s="958"/>
      <c r="H606" s="958">
        <v>0</v>
      </c>
      <c r="I606" s="973"/>
      <c r="J606" s="973"/>
      <c r="K606" s="529"/>
      <c r="L606" s="958"/>
      <c r="M606" s="958"/>
      <c r="N606" s="983">
        <v>1616.08</v>
      </c>
      <c r="O606" s="981"/>
      <c r="P606" s="772"/>
      <c r="Q606" s="812"/>
      <c r="R606" s="953"/>
    </row>
    <row r="607" spans="1:18" s="440" customFormat="1" ht="36" customHeight="1">
      <c r="A607" s="984"/>
      <c r="B607" s="972"/>
      <c r="C607" s="986"/>
      <c r="D607" s="438"/>
      <c r="E607" s="957" t="s">
        <v>454</v>
      </c>
      <c r="F607" s="958"/>
      <c r="G607" s="958"/>
      <c r="H607" s="958">
        <v>0</v>
      </c>
      <c r="I607" s="973"/>
      <c r="J607" s="973"/>
      <c r="K607" s="529"/>
      <c r="L607" s="958"/>
      <c r="M607" s="958"/>
      <c r="N607" s="983">
        <v>2043.61</v>
      </c>
      <c r="O607" s="981"/>
      <c r="P607" s="772"/>
      <c r="Q607" s="812"/>
      <c r="R607" s="953"/>
    </row>
    <row r="608" spans="1:18" s="440" customFormat="1" ht="59.25" customHeight="1">
      <c r="A608" s="984"/>
      <c r="B608" s="972"/>
      <c r="C608" s="986"/>
      <c r="D608" s="438"/>
      <c r="E608" s="957" t="s">
        <v>455</v>
      </c>
      <c r="F608" s="958"/>
      <c r="G608" s="958"/>
      <c r="H608" s="958">
        <v>0</v>
      </c>
      <c r="I608" s="973"/>
      <c r="J608" s="973"/>
      <c r="K608" s="529"/>
      <c r="L608" s="958"/>
      <c r="M608" s="958"/>
      <c r="N608" s="983">
        <v>1599</v>
      </c>
      <c r="O608" s="981"/>
      <c r="P608" s="772"/>
      <c r="Q608" s="812"/>
      <c r="R608" s="953"/>
    </row>
    <row r="609" spans="1:18" s="440" customFormat="1" ht="36" customHeight="1">
      <c r="A609" s="984"/>
      <c r="B609" s="972"/>
      <c r="C609" s="986"/>
      <c r="D609" s="438"/>
      <c r="E609" s="957" t="s">
        <v>456</v>
      </c>
      <c r="F609" s="958"/>
      <c r="G609" s="958"/>
      <c r="H609" s="958">
        <v>0</v>
      </c>
      <c r="I609" s="973"/>
      <c r="J609" s="973"/>
      <c r="K609" s="529"/>
      <c r="L609" s="958"/>
      <c r="M609" s="958"/>
      <c r="N609" s="983">
        <v>586.12</v>
      </c>
      <c r="O609" s="981"/>
      <c r="P609" s="772"/>
      <c r="Q609" s="812"/>
      <c r="R609" s="953"/>
    </row>
    <row r="610" spans="1:18" s="440" customFormat="1" ht="54.75" customHeight="1">
      <c r="A610" s="984"/>
      <c r="B610" s="972"/>
      <c r="C610" s="986"/>
      <c r="D610" s="438"/>
      <c r="E610" s="957" t="s">
        <v>457</v>
      </c>
      <c r="F610" s="958"/>
      <c r="G610" s="958"/>
      <c r="H610" s="958">
        <v>0</v>
      </c>
      <c r="I610" s="973"/>
      <c r="J610" s="973"/>
      <c r="K610" s="529"/>
      <c r="L610" s="958"/>
      <c r="M610" s="958"/>
      <c r="N610" s="983">
        <v>860</v>
      </c>
      <c r="O610" s="981"/>
      <c r="P610" s="772"/>
      <c r="Q610" s="812"/>
      <c r="R610" s="953"/>
    </row>
    <row r="611" spans="1:18" s="440" customFormat="1" ht="36" customHeight="1">
      <c r="A611" s="984"/>
      <c r="B611" s="972"/>
      <c r="C611" s="986"/>
      <c r="D611" s="438"/>
      <c r="E611" s="957" t="s">
        <v>458</v>
      </c>
      <c r="F611" s="961"/>
      <c r="G611" s="961"/>
      <c r="H611" s="958">
        <v>32231.32</v>
      </c>
      <c r="I611" s="973"/>
      <c r="J611" s="973"/>
      <c r="K611" s="529"/>
      <c r="L611" s="961"/>
      <c r="M611" s="961"/>
      <c r="N611" s="983">
        <v>32746.23</v>
      </c>
      <c r="O611" s="981"/>
      <c r="P611" s="772"/>
      <c r="Q611" s="812"/>
      <c r="R611" s="953"/>
    </row>
    <row r="612" spans="1:18" s="440" customFormat="1" ht="36" customHeight="1">
      <c r="A612" s="984"/>
      <c r="B612" s="972"/>
      <c r="C612" s="986"/>
      <c r="D612" s="438"/>
      <c r="E612" s="957" t="s">
        <v>459</v>
      </c>
      <c r="F612" s="961"/>
      <c r="G612" s="961"/>
      <c r="H612" s="958">
        <v>0</v>
      </c>
      <c r="I612" s="973"/>
      <c r="J612" s="973"/>
      <c r="K612" s="529"/>
      <c r="L612" s="961"/>
      <c r="M612" s="961"/>
      <c r="N612" s="983">
        <v>4990.0200000000004</v>
      </c>
      <c r="O612" s="981"/>
      <c r="P612" s="772"/>
      <c r="Q612" s="812"/>
      <c r="R612" s="953"/>
    </row>
    <row r="613" spans="1:18" s="440" customFormat="1" ht="36" customHeight="1">
      <c r="A613" s="984"/>
      <c r="B613" s="972"/>
      <c r="C613" s="986"/>
      <c r="D613" s="438"/>
      <c r="E613" s="957" t="s">
        <v>460</v>
      </c>
      <c r="F613" s="961"/>
      <c r="G613" s="961"/>
      <c r="H613" s="958">
        <v>692</v>
      </c>
      <c r="I613" s="973"/>
      <c r="J613" s="973"/>
      <c r="K613" s="529"/>
      <c r="L613" s="961"/>
      <c r="M613" s="961"/>
      <c r="N613" s="983">
        <v>456.33</v>
      </c>
      <c r="O613" s="981"/>
      <c r="P613" s="772"/>
      <c r="Q613" s="812"/>
      <c r="R613" s="953"/>
    </row>
    <row r="614" spans="1:18" s="440" customFormat="1" ht="36" customHeight="1">
      <c r="A614" s="984"/>
      <c r="B614" s="972"/>
      <c r="C614" s="986"/>
      <c r="D614" s="438"/>
      <c r="E614" s="957" t="s">
        <v>461</v>
      </c>
      <c r="F614" s="961"/>
      <c r="G614" s="961"/>
      <c r="H614" s="958">
        <v>35817</v>
      </c>
      <c r="I614" s="973"/>
      <c r="J614" s="973"/>
      <c r="K614" s="529"/>
      <c r="L614" s="961"/>
      <c r="M614" s="961"/>
      <c r="N614" s="983">
        <v>39107</v>
      </c>
      <c r="O614" s="981"/>
      <c r="P614" s="772"/>
      <c r="Q614" s="812"/>
      <c r="R614" s="953"/>
    </row>
    <row r="615" spans="1:18" s="440" customFormat="1" ht="36" customHeight="1">
      <c r="A615" s="984"/>
      <c r="B615" s="972"/>
      <c r="C615" s="986"/>
      <c r="D615" s="438"/>
      <c r="E615" s="957" t="s">
        <v>462</v>
      </c>
      <c r="F615" s="961"/>
      <c r="G615" s="961"/>
      <c r="H615" s="958">
        <v>0</v>
      </c>
      <c r="I615" s="973"/>
      <c r="J615" s="973"/>
      <c r="K615" s="529"/>
      <c r="L615" s="961"/>
      <c r="M615" s="961"/>
      <c r="N615" s="983">
        <v>0</v>
      </c>
      <c r="O615" s="981"/>
      <c r="P615" s="772"/>
      <c r="Q615" s="812"/>
      <c r="R615" s="953"/>
    </row>
    <row r="616" spans="1:18" s="440" customFormat="1" ht="61.5" customHeight="1">
      <c r="A616" s="984"/>
      <c r="B616" s="972"/>
      <c r="C616" s="986"/>
      <c r="D616" s="438"/>
      <c r="E616" s="957" t="s">
        <v>463</v>
      </c>
      <c r="F616" s="961"/>
      <c r="G616" s="961"/>
      <c r="H616" s="958">
        <v>0</v>
      </c>
      <c r="I616" s="973"/>
      <c r="J616" s="973"/>
      <c r="K616" s="529"/>
      <c r="L616" s="961"/>
      <c r="M616" s="961"/>
      <c r="N616" s="983">
        <v>0</v>
      </c>
      <c r="O616" s="981"/>
      <c r="P616" s="772"/>
      <c r="Q616" s="812"/>
      <c r="R616" s="953"/>
    </row>
    <row r="617" spans="1:18" s="440" customFormat="1" ht="36" customHeight="1">
      <c r="A617" s="984"/>
      <c r="B617" s="972"/>
      <c r="C617" s="986"/>
      <c r="D617" s="438"/>
      <c r="E617" s="957" t="s">
        <v>464</v>
      </c>
      <c r="F617" s="961"/>
      <c r="G617" s="961"/>
      <c r="H617" s="958">
        <v>0</v>
      </c>
      <c r="I617" s="973"/>
      <c r="J617" s="973"/>
      <c r="K617" s="529"/>
      <c r="L617" s="961"/>
      <c r="M617" s="961"/>
      <c r="N617" s="983">
        <v>0</v>
      </c>
      <c r="O617" s="981"/>
      <c r="P617" s="772"/>
      <c r="Q617" s="812"/>
      <c r="R617" s="953"/>
    </row>
    <row r="618" spans="1:18" s="440" customFormat="1" ht="36" customHeight="1">
      <c r="A618" s="984"/>
      <c r="B618" s="972"/>
      <c r="C618" s="986"/>
      <c r="D618" s="438"/>
      <c r="E618" s="957" t="s">
        <v>465</v>
      </c>
      <c r="F618" s="961"/>
      <c r="G618" s="961"/>
      <c r="H618" s="958">
        <v>0</v>
      </c>
      <c r="I618" s="973"/>
      <c r="J618" s="973"/>
      <c r="K618" s="529"/>
      <c r="L618" s="961"/>
      <c r="M618" s="961"/>
      <c r="N618" s="983">
        <v>250</v>
      </c>
      <c r="O618" s="981"/>
      <c r="P618" s="772"/>
      <c r="Q618" s="812"/>
      <c r="R618" s="953"/>
    </row>
    <row r="619" spans="1:18" s="440" customFormat="1" ht="39" customHeight="1">
      <c r="A619" s="984"/>
      <c r="B619" s="972"/>
      <c r="C619" s="986"/>
      <c r="D619" s="438"/>
      <c r="E619" s="957" t="s">
        <v>466</v>
      </c>
      <c r="F619" s="961"/>
      <c r="G619" s="961"/>
      <c r="H619" s="958">
        <v>1674.81</v>
      </c>
      <c r="I619" s="973"/>
      <c r="J619" s="973"/>
      <c r="K619" s="529"/>
      <c r="L619" s="961"/>
      <c r="M619" s="961"/>
      <c r="N619" s="983">
        <v>13871.02</v>
      </c>
      <c r="O619" s="981"/>
      <c r="P619" s="772"/>
      <c r="Q619" s="812"/>
      <c r="R619" s="953"/>
    </row>
    <row r="620" spans="1:18" s="440" customFormat="1" ht="57" customHeight="1">
      <c r="A620" s="984"/>
      <c r="B620" s="972"/>
      <c r="C620" s="986"/>
      <c r="D620" s="438"/>
      <c r="E620" s="945" t="s">
        <v>467</v>
      </c>
      <c r="F620" s="949">
        <v>117300</v>
      </c>
      <c r="G620" s="949">
        <v>111778</v>
      </c>
      <c r="H620" s="949">
        <v>74715.13</v>
      </c>
      <c r="I620" s="973"/>
      <c r="J620" s="973"/>
      <c r="K620" s="529"/>
      <c r="L620" s="949">
        <v>0</v>
      </c>
      <c r="M620" s="949">
        <v>0</v>
      </c>
      <c r="N620" s="949">
        <v>0</v>
      </c>
      <c r="O620" s="978">
        <v>0</v>
      </c>
      <c r="P620" s="772" t="s">
        <v>395</v>
      </c>
      <c r="Q620" s="812"/>
      <c r="R620" s="953"/>
    </row>
    <row r="621" spans="1:18" s="441" customFormat="1" ht="45" customHeight="1">
      <c r="A621" s="988"/>
      <c r="B621" s="992"/>
      <c r="C621" s="571">
        <v>3</v>
      </c>
      <c r="D621" s="572"/>
      <c r="E621" s="736" t="s">
        <v>260</v>
      </c>
      <c r="F621" s="711"/>
      <c r="G621" s="710"/>
      <c r="H621" s="710"/>
      <c r="I621" s="710"/>
      <c r="J621" s="599"/>
      <c r="K621" s="710">
        <v>293000</v>
      </c>
      <c r="L621" s="710">
        <f>L622+L641+L663</f>
        <v>1862000</v>
      </c>
      <c r="M621" s="710">
        <f t="shared" ref="M621:N621" si="76">M622+M641+M663</f>
        <v>1861754</v>
      </c>
      <c r="N621" s="710">
        <f t="shared" si="76"/>
        <v>1093557.72</v>
      </c>
      <c r="O621" s="879">
        <f>N621/M621</f>
        <v>0.58738035207659012</v>
      </c>
      <c r="P621" s="787" t="s">
        <v>395</v>
      </c>
      <c r="Q621" s="993"/>
      <c r="R621" s="670"/>
    </row>
    <row r="622" spans="1:18" s="442" customFormat="1" ht="39.9" customHeight="1">
      <c r="A622" s="987"/>
      <c r="B622" s="944"/>
      <c r="C622" s="458"/>
      <c r="D622" s="444"/>
      <c r="E622" s="945" t="s">
        <v>412</v>
      </c>
      <c r="F622" s="976"/>
      <c r="G622" s="946"/>
      <c r="H622" s="946"/>
      <c r="I622" s="946"/>
      <c r="J622" s="947"/>
      <c r="K622" s="948"/>
      <c r="L622" s="949">
        <v>1585000</v>
      </c>
      <c r="M622" s="949">
        <v>1584430</v>
      </c>
      <c r="N622" s="977">
        <f>SUM(N624:N640)</f>
        <v>943951.10000000009</v>
      </c>
      <c r="O622" s="978">
        <v>0</v>
      </c>
      <c r="P622" s="781" t="s">
        <v>395</v>
      </c>
      <c r="Q622" s="994"/>
      <c r="R622" s="995"/>
    </row>
    <row r="623" spans="1:18" s="467" customFormat="1" ht="34.5" customHeight="1">
      <c r="A623" s="984"/>
      <c r="B623" s="972"/>
      <c r="C623" s="450"/>
      <c r="D623" s="438"/>
      <c r="E623" s="952" t="s">
        <v>13</v>
      </c>
      <c r="F623" s="985"/>
      <c r="G623" s="973"/>
      <c r="H623" s="973"/>
      <c r="I623" s="973"/>
      <c r="J623" s="973"/>
      <c r="K623" s="529"/>
      <c r="L623" s="980"/>
      <c r="M623" s="980"/>
      <c r="N623" s="980"/>
      <c r="O623" s="981"/>
      <c r="P623" s="783"/>
      <c r="Q623" s="996"/>
      <c r="R623" s="997"/>
    </row>
    <row r="624" spans="1:18" s="467" customFormat="1" ht="36" customHeight="1">
      <c r="A624" s="984"/>
      <c r="B624" s="972"/>
      <c r="C624" s="450"/>
      <c r="D624" s="425"/>
      <c r="E624" s="954" t="s">
        <v>510</v>
      </c>
      <c r="F624" s="985"/>
      <c r="G624" s="973"/>
      <c r="H624" s="973"/>
      <c r="I624" s="973"/>
      <c r="J624" s="973"/>
      <c r="K624" s="529"/>
      <c r="L624" s="955"/>
      <c r="M624" s="955"/>
      <c r="N624" s="983">
        <v>385556.82</v>
      </c>
      <c r="O624" s="981"/>
      <c r="P624" s="783"/>
      <c r="Q624" s="996"/>
      <c r="R624" s="997"/>
    </row>
    <row r="625" spans="1:18" s="467" customFormat="1" ht="57" customHeight="1">
      <c r="A625" s="984"/>
      <c r="B625" s="972"/>
      <c r="C625" s="450"/>
      <c r="D625" s="438"/>
      <c r="E625" s="954" t="s">
        <v>511</v>
      </c>
      <c r="F625" s="985"/>
      <c r="G625" s="973"/>
      <c r="H625" s="973"/>
      <c r="I625" s="973"/>
      <c r="J625" s="973"/>
      <c r="K625" s="529"/>
      <c r="L625" s="955"/>
      <c r="M625" s="955"/>
      <c r="N625" s="983">
        <v>71647.199999999997</v>
      </c>
      <c r="O625" s="981"/>
      <c r="P625" s="783"/>
      <c r="Q625" s="996"/>
      <c r="R625" s="997"/>
    </row>
    <row r="626" spans="1:18" s="467" customFormat="1" ht="36" customHeight="1">
      <c r="A626" s="984"/>
      <c r="B626" s="972"/>
      <c r="C626" s="450"/>
      <c r="D626" s="438"/>
      <c r="E626" s="954" t="s">
        <v>479</v>
      </c>
      <c r="F626" s="985"/>
      <c r="G626" s="973"/>
      <c r="H626" s="973"/>
      <c r="I626" s="973"/>
      <c r="J626" s="973"/>
      <c r="K626" s="529"/>
      <c r="L626" s="955"/>
      <c r="M626" s="955"/>
      <c r="N626" s="983">
        <v>0</v>
      </c>
      <c r="O626" s="981"/>
      <c r="P626" s="783"/>
      <c r="Q626" s="996"/>
      <c r="R626" s="997"/>
    </row>
    <row r="627" spans="1:18" s="467" customFormat="1" ht="36" customHeight="1">
      <c r="A627" s="984"/>
      <c r="B627" s="972"/>
      <c r="C627" s="450"/>
      <c r="D627" s="438"/>
      <c r="E627" s="954" t="s">
        <v>512</v>
      </c>
      <c r="F627" s="985"/>
      <c r="G627" s="973"/>
      <c r="H627" s="973"/>
      <c r="I627" s="973"/>
      <c r="J627" s="973"/>
      <c r="K627" s="529"/>
      <c r="L627" s="955"/>
      <c r="M627" s="955"/>
      <c r="N627" s="983">
        <v>17700.900000000001</v>
      </c>
      <c r="O627" s="981"/>
      <c r="P627" s="783"/>
      <c r="Q627" s="996"/>
      <c r="R627" s="997"/>
    </row>
    <row r="628" spans="1:18" s="467" customFormat="1" ht="36" customHeight="1">
      <c r="A628" s="984"/>
      <c r="B628" s="972"/>
      <c r="C628" s="450"/>
      <c r="D628" s="438"/>
      <c r="E628" s="954" t="s">
        <v>436</v>
      </c>
      <c r="F628" s="985"/>
      <c r="G628" s="973"/>
      <c r="H628" s="973"/>
      <c r="I628" s="973"/>
      <c r="J628" s="973"/>
      <c r="K628" s="529"/>
      <c r="L628" s="955"/>
      <c r="M628" s="955"/>
      <c r="N628" s="983">
        <v>0</v>
      </c>
      <c r="O628" s="981"/>
      <c r="P628" s="783"/>
      <c r="Q628" s="996"/>
      <c r="R628" s="997"/>
    </row>
    <row r="629" spans="1:18" s="467" customFormat="1" ht="36" customHeight="1">
      <c r="A629" s="984"/>
      <c r="B629" s="972"/>
      <c r="C629" s="450"/>
      <c r="D629" s="438"/>
      <c r="E629" s="954" t="s">
        <v>437</v>
      </c>
      <c r="F629" s="985"/>
      <c r="G629" s="973"/>
      <c r="H629" s="973"/>
      <c r="I629" s="973"/>
      <c r="J629" s="973"/>
      <c r="K629" s="529"/>
      <c r="L629" s="955"/>
      <c r="M629" s="955"/>
      <c r="N629" s="983">
        <v>0</v>
      </c>
      <c r="O629" s="981"/>
      <c r="P629" s="783"/>
      <c r="Q629" s="996"/>
      <c r="R629" s="997"/>
    </row>
    <row r="630" spans="1:18" s="467" customFormat="1" ht="36" customHeight="1">
      <c r="A630" s="984"/>
      <c r="B630" s="972"/>
      <c r="C630" s="450"/>
      <c r="D630" s="438"/>
      <c r="E630" s="954" t="s">
        <v>438</v>
      </c>
      <c r="F630" s="985"/>
      <c r="G630" s="973"/>
      <c r="H630" s="973"/>
      <c r="I630" s="973"/>
      <c r="J630" s="973"/>
      <c r="K630" s="529"/>
      <c r="L630" s="955"/>
      <c r="M630" s="955"/>
      <c r="N630" s="983">
        <v>0</v>
      </c>
      <c r="O630" s="981"/>
      <c r="P630" s="783"/>
      <c r="Q630" s="996"/>
      <c r="R630" s="997"/>
    </row>
    <row r="631" spans="1:18" s="467" customFormat="1" ht="36" customHeight="1">
      <c r="A631" s="984"/>
      <c r="B631" s="972"/>
      <c r="C631" s="450"/>
      <c r="D631" s="438"/>
      <c r="E631" s="954" t="s">
        <v>490</v>
      </c>
      <c r="F631" s="985"/>
      <c r="G631" s="973"/>
      <c r="H631" s="973"/>
      <c r="I631" s="973"/>
      <c r="J631" s="973"/>
      <c r="K631" s="529"/>
      <c r="L631" s="955"/>
      <c r="M631" s="955"/>
      <c r="N631" s="983">
        <v>931.43</v>
      </c>
      <c r="O631" s="981"/>
      <c r="P631" s="783"/>
      <c r="Q631" s="996"/>
      <c r="R631" s="997"/>
    </row>
    <row r="632" spans="1:18" s="467" customFormat="1" ht="36" customHeight="1">
      <c r="A632" s="984"/>
      <c r="B632" s="972"/>
      <c r="C632" s="450"/>
      <c r="D632" s="438"/>
      <c r="E632" s="954" t="s">
        <v>439</v>
      </c>
      <c r="F632" s="985"/>
      <c r="G632" s="973"/>
      <c r="H632" s="973"/>
      <c r="I632" s="973"/>
      <c r="J632" s="973"/>
      <c r="K632" s="529"/>
      <c r="L632" s="955"/>
      <c r="M632" s="955"/>
      <c r="N632" s="983">
        <v>0</v>
      </c>
      <c r="O632" s="981"/>
      <c r="P632" s="783"/>
      <c r="Q632" s="996"/>
      <c r="R632" s="997"/>
    </row>
    <row r="633" spans="1:18" s="467" customFormat="1" ht="36" customHeight="1">
      <c r="A633" s="984"/>
      <c r="B633" s="972"/>
      <c r="C633" s="450"/>
      <c r="D633" s="438"/>
      <c r="E633" s="954" t="s">
        <v>440</v>
      </c>
      <c r="F633" s="985"/>
      <c r="G633" s="973"/>
      <c r="H633" s="973"/>
      <c r="I633" s="973"/>
      <c r="J633" s="973"/>
      <c r="K633" s="529"/>
      <c r="L633" s="955"/>
      <c r="M633" s="955"/>
      <c r="N633" s="983">
        <v>0</v>
      </c>
      <c r="O633" s="981"/>
      <c r="P633" s="783"/>
      <c r="Q633" s="996"/>
      <c r="R633" s="997"/>
    </row>
    <row r="634" spans="1:18" s="467" customFormat="1" ht="36" customHeight="1">
      <c r="A634" s="984"/>
      <c r="B634" s="972"/>
      <c r="C634" s="450"/>
      <c r="D634" s="438"/>
      <c r="E634" s="954" t="s">
        <v>441</v>
      </c>
      <c r="F634" s="985"/>
      <c r="G634" s="973"/>
      <c r="H634" s="973"/>
      <c r="I634" s="973"/>
      <c r="J634" s="973"/>
      <c r="K634" s="529"/>
      <c r="L634" s="955"/>
      <c r="M634" s="955"/>
      <c r="N634" s="983">
        <v>0</v>
      </c>
      <c r="O634" s="981"/>
      <c r="P634" s="783"/>
      <c r="Q634" s="996"/>
      <c r="R634" s="997"/>
    </row>
    <row r="635" spans="1:18" s="467" customFormat="1" ht="57" customHeight="1">
      <c r="A635" s="984"/>
      <c r="B635" s="972"/>
      <c r="C635" s="450"/>
      <c r="D635" s="438"/>
      <c r="E635" s="954" t="s">
        <v>513</v>
      </c>
      <c r="F635" s="985"/>
      <c r="G635" s="973"/>
      <c r="H635" s="973"/>
      <c r="I635" s="973"/>
      <c r="J635" s="973"/>
      <c r="K635" s="529"/>
      <c r="L635" s="955"/>
      <c r="M635" s="955"/>
      <c r="N635" s="983">
        <v>215086.54</v>
      </c>
      <c r="O635" s="981"/>
      <c r="P635" s="783"/>
      <c r="Q635" s="996"/>
      <c r="R635" s="997"/>
    </row>
    <row r="636" spans="1:18" s="467" customFormat="1" ht="36" customHeight="1">
      <c r="A636" s="984"/>
      <c r="B636" s="972"/>
      <c r="C636" s="450"/>
      <c r="D636" s="438"/>
      <c r="E636" s="954" t="s">
        <v>442</v>
      </c>
      <c r="F636" s="985"/>
      <c r="G636" s="973"/>
      <c r="H636" s="973"/>
      <c r="I636" s="973"/>
      <c r="J636" s="973"/>
      <c r="K636" s="529"/>
      <c r="L636" s="955"/>
      <c r="M636" s="955"/>
      <c r="N636" s="983">
        <v>0</v>
      </c>
      <c r="O636" s="981"/>
      <c r="P636" s="783"/>
      <c r="Q636" s="996"/>
      <c r="R636" s="997"/>
    </row>
    <row r="637" spans="1:18" s="467" customFormat="1" ht="36" customHeight="1">
      <c r="A637" s="984"/>
      <c r="B637" s="972"/>
      <c r="C637" s="450"/>
      <c r="D637" s="438"/>
      <c r="E637" s="954" t="s">
        <v>443</v>
      </c>
      <c r="F637" s="985"/>
      <c r="G637" s="973"/>
      <c r="H637" s="973"/>
      <c r="I637" s="973"/>
      <c r="J637" s="973"/>
      <c r="K637" s="529"/>
      <c r="L637" s="955"/>
      <c r="M637" s="955"/>
      <c r="N637" s="983">
        <v>102751.44</v>
      </c>
      <c r="O637" s="981"/>
      <c r="P637" s="783"/>
      <c r="Q637" s="996"/>
      <c r="R637" s="997"/>
    </row>
    <row r="638" spans="1:18" s="467" customFormat="1" ht="36" customHeight="1">
      <c r="A638" s="984"/>
      <c r="B638" s="972"/>
      <c r="C638" s="450"/>
      <c r="D638" s="438"/>
      <c r="E638" s="954" t="s">
        <v>482</v>
      </c>
      <c r="F638" s="985"/>
      <c r="G638" s="973"/>
      <c r="H638" s="973"/>
      <c r="I638" s="973"/>
      <c r="J638" s="973"/>
      <c r="K638" s="529"/>
      <c r="L638" s="955"/>
      <c r="M638" s="955"/>
      <c r="N638" s="983">
        <v>2922</v>
      </c>
      <c r="O638" s="981"/>
      <c r="P638" s="783"/>
      <c r="Q638" s="996"/>
      <c r="R638" s="997"/>
    </row>
    <row r="639" spans="1:18" s="467" customFormat="1" ht="36" customHeight="1">
      <c r="A639" s="984"/>
      <c r="B639" s="972"/>
      <c r="C639" s="450"/>
      <c r="D639" s="438"/>
      <c r="E639" s="954" t="s">
        <v>514</v>
      </c>
      <c r="F639" s="985"/>
      <c r="G639" s="973"/>
      <c r="H639" s="973"/>
      <c r="I639" s="973"/>
      <c r="J639" s="973"/>
      <c r="K639" s="529"/>
      <c r="L639" s="955"/>
      <c r="M639" s="955"/>
      <c r="N639" s="983">
        <v>12000</v>
      </c>
      <c r="O639" s="981"/>
      <c r="P639" s="783"/>
      <c r="Q639" s="996"/>
      <c r="R639" s="997"/>
    </row>
    <row r="640" spans="1:18" s="467" customFormat="1" ht="36" customHeight="1">
      <c r="A640" s="984"/>
      <c r="B640" s="972"/>
      <c r="C640" s="450"/>
      <c r="D640" s="438"/>
      <c r="E640" s="954" t="s">
        <v>446</v>
      </c>
      <c r="F640" s="985"/>
      <c r="G640" s="973"/>
      <c r="H640" s="973"/>
      <c r="I640" s="973"/>
      <c r="J640" s="973"/>
      <c r="K640" s="529"/>
      <c r="L640" s="955"/>
      <c r="M640" s="955"/>
      <c r="N640" s="983">
        <v>135354.76999999999</v>
      </c>
      <c r="O640" s="981"/>
      <c r="P640" s="783"/>
      <c r="Q640" s="996"/>
      <c r="R640" s="997"/>
    </row>
    <row r="641" spans="1:18" s="467" customFormat="1" ht="57" customHeight="1">
      <c r="A641" s="984"/>
      <c r="B641" s="972"/>
      <c r="C641" s="986"/>
      <c r="D641" s="438"/>
      <c r="E641" s="945" t="s">
        <v>418</v>
      </c>
      <c r="F641" s="949">
        <v>117300</v>
      </c>
      <c r="G641" s="949">
        <v>111778</v>
      </c>
      <c r="H641" s="949">
        <v>74715.13</v>
      </c>
      <c r="I641" s="973"/>
      <c r="J641" s="973"/>
      <c r="K641" s="529"/>
      <c r="L641" s="949">
        <v>277000</v>
      </c>
      <c r="M641" s="949">
        <v>277324</v>
      </c>
      <c r="N641" s="977">
        <f>SUM(N642:N662)</f>
        <v>149606.61999999997</v>
      </c>
      <c r="O641" s="978">
        <f>N641/M641</f>
        <v>0.53946510219093902</v>
      </c>
      <c r="P641" s="783" t="s">
        <v>395</v>
      </c>
      <c r="Q641" s="996"/>
      <c r="R641" s="997"/>
    </row>
    <row r="642" spans="1:18" s="467" customFormat="1" ht="81" customHeight="1">
      <c r="A642" s="984"/>
      <c r="B642" s="972"/>
      <c r="C642" s="986"/>
      <c r="D642" s="438"/>
      <c r="E642" s="957" t="s">
        <v>447</v>
      </c>
      <c r="F642" s="958"/>
      <c r="G642" s="958"/>
      <c r="H642" s="958">
        <v>0</v>
      </c>
      <c r="I642" s="973"/>
      <c r="J642" s="973"/>
      <c r="K642" s="529"/>
      <c r="L642" s="958"/>
      <c r="M642" s="958"/>
      <c r="N642" s="983">
        <v>382.33</v>
      </c>
      <c r="O642" s="981"/>
      <c r="P642" s="783"/>
      <c r="Q642" s="996"/>
      <c r="R642" s="997"/>
    </row>
    <row r="643" spans="1:18" s="467" customFormat="1" ht="36" customHeight="1">
      <c r="A643" s="984"/>
      <c r="B643" s="972"/>
      <c r="C643" s="986"/>
      <c r="D643" s="438"/>
      <c r="E643" s="957" t="s">
        <v>448</v>
      </c>
      <c r="F643" s="958"/>
      <c r="G643" s="958"/>
      <c r="H643" s="958">
        <v>0</v>
      </c>
      <c r="I643" s="973"/>
      <c r="J643" s="973"/>
      <c r="K643" s="529"/>
      <c r="L643" s="958"/>
      <c r="M643" s="958"/>
      <c r="N643" s="983">
        <v>0</v>
      </c>
      <c r="O643" s="981"/>
      <c r="P643" s="783"/>
      <c r="Q643" s="996"/>
      <c r="R643" s="997"/>
    </row>
    <row r="644" spans="1:18" s="467" customFormat="1" ht="36" customHeight="1">
      <c r="A644" s="984"/>
      <c r="B644" s="972"/>
      <c r="C644" s="986"/>
      <c r="D644" s="438"/>
      <c r="E644" s="957" t="s">
        <v>449</v>
      </c>
      <c r="F644" s="958"/>
      <c r="G644" s="958"/>
      <c r="H644" s="958">
        <v>0</v>
      </c>
      <c r="I644" s="973"/>
      <c r="J644" s="973"/>
      <c r="K644" s="529"/>
      <c r="L644" s="958"/>
      <c r="M644" s="958"/>
      <c r="N644" s="983">
        <v>0</v>
      </c>
      <c r="O644" s="981"/>
      <c r="P644" s="783"/>
      <c r="Q644" s="996"/>
      <c r="R644" s="997"/>
    </row>
    <row r="645" spans="1:18" s="467" customFormat="1" ht="36" customHeight="1">
      <c r="A645" s="984"/>
      <c r="B645" s="972"/>
      <c r="C645" s="986"/>
      <c r="D645" s="438"/>
      <c r="E645" s="957" t="s">
        <v>450</v>
      </c>
      <c r="F645" s="958"/>
      <c r="G645" s="958"/>
      <c r="H645" s="958">
        <v>0</v>
      </c>
      <c r="I645" s="973"/>
      <c r="J645" s="973"/>
      <c r="K645" s="529"/>
      <c r="L645" s="958"/>
      <c r="M645" s="958"/>
      <c r="N645" s="983">
        <v>0</v>
      </c>
      <c r="O645" s="981"/>
      <c r="P645" s="783"/>
      <c r="Q645" s="996"/>
      <c r="R645" s="997"/>
    </row>
    <row r="646" spans="1:18" s="467" customFormat="1" ht="36" customHeight="1">
      <c r="A646" s="984"/>
      <c r="B646" s="972"/>
      <c r="C646" s="986"/>
      <c r="D646" s="438"/>
      <c r="E646" s="957" t="s">
        <v>451</v>
      </c>
      <c r="F646" s="958"/>
      <c r="G646" s="958"/>
      <c r="H646" s="958">
        <v>0</v>
      </c>
      <c r="I646" s="973"/>
      <c r="J646" s="973"/>
      <c r="K646" s="529"/>
      <c r="L646" s="958"/>
      <c r="M646" s="958"/>
      <c r="N646" s="983">
        <v>0</v>
      </c>
      <c r="O646" s="981"/>
      <c r="P646" s="783"/>
      <c r="Q646" s="996"/>
      <c r="R646" s="997"/>
    </row>
    <row r="647" spans="1:18" s="467" customFormat="1" ht="66" customHeight="1">
      <c r="A647" s="984"/>
      <c r="B647" s="972"/>
      <c r="C647" s="986"/>
      <c r="D647" s="438"/>
      <c r="E647" s="960" t="s">
        <v>515</v>
      </c>
      <c r="F647" s="958"/>
      <c r="G647" s="958"/>
      <c r="H647" s="958">
        <v>4300</v>
      </c>
      <c r="I647" s="973"/>
      <c r="J647" s="973"/>
      <c r="K647" s="529"/>
      <c r="L647" s="958"/>
      <c r="M647" s="958"/>
      <c r="N647" s="983">
        <v>3942.2</v>
      </c>
      <c r="O647" s="981"/>
      <c r="P647" s="783"/>
      <c r="Q647" s="996"/>
      <c r="R647" s="997"/>
    </row>
    <row r="648" spans="1:18" s="467" customFormat="1" ht="84" customHeight="1">
      <c r="A648" s="984"/>
      <c r="B648" s="972"/>
      <c r="C648" s="986"/>
      <c r="D648" s="438"/>
      <c r="E648" s="957" t="s">
        <v>452</v>
      </c>
      <c r="F648" s="958"/>
      <c r="G648" s="958"/>
      <c r="H648" s="958">
        <v>0</v>
      </c>
      <c r="I648" s="973"/>
      <c r="J648" s="973"/>
      <c r="K648" s="529"/>
      <c r="L648" s="958"/>
      <c r="M648" s="958"/>
      <c r="N648" s="983">
        <v>4503.25</v>
      </c>
      <c r="O648" s="981"/>
      <c r="P648" s="783"/>
      <c r="Q648" s="996"/>
      <c r="R648" s="997"/>
    </row>
    <row r="649" spans="1:18" s="467" customFormat="1" ht="54.75" customHeight="1">
      <c r="A649" s="984"/>
      <c r="B649" s="972"/>
      <c r="C649" s="986"/>
      <c r="D649" s="438"/>
      <c r="E649" s="957" t="s">
        <v>453</v>
      </c>
      <c r="F649" s="958"/>
      <c r="G649" s="958"/>
      <c r="H649" s="958">
        <v>0</v>
      </c>
      <c r="I649" s="973"/>
      <c r="J649" s="973"/>
      <c r="K649" s="529"/>
      <c r="L649" s="958"/>
      <c r="M649" s="958"/>
      <c r="N649" s="983">
        <v>0</v>
      </c>
      <c r="O649" s="981"/>
      <c r="P649" s="783"/>
      <c r="Q649" s="996"/>
      <c r="R649" s="997"/>
    </row>
    <row r="650" spans="1:18" s="467" customFormat="1" ht="36" customHeight="1">
      <c r="A650" s="984"/>
      <c r="B650" s="972"/>
      <c r="C650" s="986"/>
      <c r="D650" s="438"/>
      <c r="E650" s="957" t="s">
        <v>454</v>
      </c>
      <c r="F650" s="958"/>
      <c r="G650" s="958"/>
      <c r="H650" s="958">
        <v>0</v>
      </c>
      <c r="I650" s="973"/>
      <c r="J650" s="973"/>
      <c r="K650" s="529"/>
      <c r="L650" s="958"/>
      <c r="M650" s="958"/>
      <c r="N650" s="983">
        <v>3211.41</v>
      </c>
      <c r="O650" s="981"/>
      <c r="P650" s="783"/>
      <c r="Q650" s="996"/>
      <c r="R650" s="997"/>
    </row>
    <row r="651" spans="1:18" s="467" customFormat="1" ht="62.25" customHeight="1">
      <c r="A651" s="984"/>
      <c r="B651" s="972"/>
      <c r="C651" s="986"/>
      <c r="D651" s="438"/>
      <c r="E651" s="957" t="s">
        <v>455</v>
      </c>
      <c r="F651" s="958"/>
      <c r="G651" s="958"/>
      <c r="H651" s="958">
        <v>0</v>
      </c>
      <c r="I651" s="973"/>
      <c r="J651" s="973"/>
      <c r="K651" s="529"/>
      <c r="L651" s="958"/>
      <c r="M651" s="958"/>
      <c r="N651" s="983">
        <v>1065.3399999999999</v>
      </c>
      <c r="O651" s="981"/>
      <c r="P651" s="783"/>
      <c r="Q651" s="996"/>
      <c r="R651" s="997"/>
    </row>
    <row r="652" spans="1:18" s="467" customFormat="1" ht="36" customHeight="1">
      <c r="A652" s="984"/>
      <c r="B652" s="972"/>
      <c r="C652" s="986"/>
      <c r="D652" s="438"/>
      <c r="E652" s="957" t="s">
        <v>456</v>
      </c>
      <c r="F652" s="958"/>
      <c r="G652" s="958"/>
      <c r="H652" s="958">
        <v>0</v>
      </c>
      <c r="I652" s="973"/>
      <c r="J652" s="973"/>
      <c r="K652" s="529"/>
      <c r="L652" s="958"/>
      <c r="M652" s="958"/>
      <c r="N652" s="983">
        <v>2965.71</v>
      </c>
      <c r="O652" s="981"/>
      <c r="P652" s="783"/>
      <c r="Q652" s="996"/>
      <c r="R652" s="997"/>
    </row>
    <row r="653" spans="1:18" s="467" customFormat="1" ht="60.75" customHeight="1">
      <c r="A653" s="984"/>
      <c r="B653" s="972"/>
      <c r="C653" s="986"/>
      <c r="D653" s="438"/>
      <c r="E653" s="957" t="s">
        <v>457</v>
      </c>
      <c r="F653" s="958"/>
      <c r="G653" s="958"/>
      <c r="H653" s="958">
        <v>0</v>
      </c>
      <c r="I653" s="973"/>
      <c r="J653" s="973"/>
      <c r="K653" s="529"/>
      <c r="L653" s="958"/>
      <c r="M653" s="958"/>
      <c r="N653" s="983">
        <v>0</v>
      </c>
      <c r="O653" s="981"/>
      <c r="P653" s="783"/>
      <c r="Q653" s="996"/>
      <c r="R653" s="997"/>
    </row>
    <row r="654" spans="1:18" s="467" customFormat="1" ht="36" customHeight="1">
      <c r="A654" s="984"/>
      <c r="B654" s="972"/>
      <c r="C654" s="986"/>
      <c r="D654" s="438"/>
      <c r="E654" s="957" t="s">
        <v>458</v>
      </c>
      <c r="F654" s="961"/>
      <c r="G654" s="961"/>
      <c r="H654" s="958">
        <v>32231.32</v>
      </c>
      <c r="I654" s="973"/>
      <c r="J654" s="973"/>
      <c r="K654" s="529"/>
      <c r="L654" s="961"/>
      <c r="M654" s="961"/>
      <c r="N654" s="983">
        <v>49145.93</v>
      </c>
      <c r="O654" s="981"/>
      <c r="P654" s="783"/>
      <c r="Q654" s="996"/>
      <c r="R654" s="997"/>
    </row>
    <row r="655" spans="1:18" s="467" customFormat="1" ht="36" customHeight="1">
      <c r="A655" s="984"/>
      <c r="B655" s="972"/>
      <c r="C655" s="986"/>
      <c r="D655" s="438"/>
      <c r="E655" s="957" t="s">
        <v>459</v>
      </c>
      <c r="F655" s="961"/>
      <c r="G655" s="961"/>
      <c r="H655" s="958">
        <v>0</v>
      </c>
      <c r="I655" s="973"/>
      <c r="J655" s="973"/>
      <c r="K655" s="529"/>
      <c r="L655" s="961"/>
      <c r="M655" s="961"/>
      <c r="N655" s="983">
        <v>5797.76</v>
      </c>
      <c r="O655" s="981"/>
      <c r="P655" s="783"/>
      <c r="Q655" s="996"/>
      <c r="R655" s="997"/>
    </row>
    <row r="656" spans="1:18" s="467" customFormat="1" ht="36" customHeight="1">
      <c r="A656" s="984"/>
      <c r="B656" s="972"/>
      <c r="C656" s="986"/>
      <c r="D656" s="438"/>
      <c r="E656" s="957" t="s">
        <v>460</v>
      </c>
      <c r="F656" s="961"/>
      <c r="G656" s="961"/>
      <c r="H656" s="958">
        <v>692</v>
      </c>
      <c r="I656" s="973"/>
      <c r="J656" s="973"/>
      <c r="K656" s="529"/>
      <c r="L656" s="961"/>
      <c r="M656" s="961"/>
      <c r="N656" s="983">
        <v>755.29</v>
      </c>
      <c r="O656" s="981"/>
      <c r="P656" s="783"/>
      <c r="Q656" s="996"/>
      <c r="R656" s="997"/>
    </row>
    <row r="657" spans="1:18" s="467" customFormat="1" ht="36" customHeight="1">
      <c r="A657" s="984"/>
      <c r="B657" s="972"/>
      <c r="C657" s="986"/>
      <c r="D657" s="438"/>
      <c r="E657" s="957" t="s">
        <v>461</v>
      </c>
      <c r="F657" s="961"/>
      <c r="G657" s="961"/>
      <c r="H657" s="958">
        <v>35817</v>
      </c>
      <c r="I657" s="973"/>
      <c r="J657" s="973"/>
      <c r="K657" s="529"/>
      <c r="L657" s="961"/>
      <c r="M657" s="961"/>
      <c r="N657" s="983">
        <v>64083</v>
      </c>
      <c r="O657" s="981"/>
      <c r="P657" s="783"/>
      <c r="Q657" s="996"/>
      <c r="R657" s="997"/>
    </row>
    <row r="658" spans="1:18" s="467" customFormat="1" ht="36" customHeight="1">
      <c r="A658" s="984"/>
      <c r="B658" s="972"/>
      <c r="C658" s="986"/>
      <c r="D658" s="438"/>
      <c r="E658" s="957" t="s">
        <v>462</v>
      </c>
      <c r="F658" s="961"/>
      <c r="G658" s="961"/>
      <c r="H658" s="958">
        <v>0</v>
      </c>
      <c r="I658" s="973"/>
      <c r="J658" s="973"/>
      <c r="K658" s="529"/>
      <c r="L658" s="961"/>
      <c r="M658" s="961"/>
      <c r="N658" s="983">
        <v>0</v>
      </c>
      <c r="O658" s="981"/>
      <c r="P658" s="783"/>
      <c r="Q658" s="996"/>
      <c r="R658" s="997"/>
    </row>
    <row r="659" spans="1:18" s="467" customFormat="1" ht="62.25" customHeight="1">
      <c r="A659" s="984"/>
      <c r="B659" s="972"/>
      <c r="C659" s="986"/>
      <c r="D659" s="438"/>
      <c r="E659" s="957" t="s">
        <v>463</v>
      </c>
      <c r="F659" s="961"/>
      <c r="G659" s="961"/>
      <c r="H659" s="958">
        <v>0</v>
      </c>
      <c r="I659" s="973"/>
      <c r="J659" s="973"/>
      <c r="K659" s="529"/>
      <c r="L659" s="961"/>
      <c r="M659" s="961"/>
      <c r="N659" s="983">
        <v>0</v>
      </c>
      <c r="O659" s="981"/>
      <c r="P659" s="783"/>
      <c r="Q659" s="996"/>
      <c r="R659" s="997"/>
    </row>
    <row r="660" spans="1:18" s="467" customFormat="1" ht="36" customHeight="1">
      <c r="A660" s="984"/>
      <c r="B660" s="972"/>
      <c r="C660" s="986"/>
      <c r="D660" s="438"/>
      <c r="E660" s="957" t="s">
        <v>464</v>
      </c>
      <c r="F660" s="961"/>
      <c r="G660" s="961"/>
      <c r="H660" s="958">
        <v>0</v>
      </c>
      <c r="I660" s="973"/>
      <c r="J660" s="973"/>
      <c r="K660" s="529"/>
      <c r="L660" s="961"/>
      <c r="M660" s="961"/>
      <c r="N660" s="983">
        <v>0</v>
      </c>
      <c r="O660" s="981"/>
      <c r="P660" s="783"/>
      <c r="Q660" s="996"/>
      <c r="R660" s="997"/>
    </row>
    <row r="661" spans="1:18" s="467" customFormat="1" ht="36" customHeight="1">
      <c r="A661" s="984"/>
      <c r="B661" s="972"/>
      <c r="C661" s="986"/>
      <c r="D661" s="438"/>
      <c r="E661" s="957" t="s">
        <v>465</v>
      </c>
      <c r="F661" s="961"/>
      <c r="G661" s="961"/>
      <c r="H661" s="958">
        <v>0</v>
      </c>
      <c r="I661" s="973"/>
      <c r="J661" s="973"/>
      <c r="K661" s="529"/>
      <c r="L661" s="961"/>
      <c r="M661" s="961"/>
      <c r="N661" s="983">
        <v>250</v>
      </c>
      <c r="O661" s="981"/>
      <c r="P661" s="783"/>
      <c r="Q661" s="996"/>
      <c r="R661" s="997"/>
    </row>
    <row r="662" spans="1:18" s="467" customFormat="1" ht="36" customHeight="1">
      <c r="A662" s="984"/>
      <c r="B662" s="972"/>
      <c r="C662" s="986"/>
      <c r="D662" s="438"/>
      <c r="E662" s="957" t="s">
        <v>466</v>
      </c>
      <c r="F662" s="961"/>
      <c r="G662" s="961"/>
      <c r="H662" s="958">
        <v>1674.81</v>
      </c>
      <c r="I662" s="973"/>
      <c r="J662" s="973"/>
      <c r="K662" s="529"/>
      <c r="L662" s="961"/>
      <c r="M662" s="961"/>
      <c r="N662" s="983">
        <v>13504.4</v>
      </c>
      <c r="O662" s="981"/>
      <c r="P662" s="783"/>
      <c r="Q662" s="996"/>
      <c r="R662" s="997"/>
    </row>
    <row r="663" spans="1:18" s="467" customFormat="1" ht="57" customHeight="1">
      <c r="A663" s="984"/>
      <c r="B663" s="972"/>
      <c r="C663" s="986"/>
      <c r="D663" s="438"/>
      <c r="E663" s="945" t="s">
        <v>467</v>
      </c>
      <c r="F663" s="949">
        <v>117300</v>
      </c>
      <c r="G663" s="949">
        <v>111778</v>
      </c>
      <c r="H663" s="949">
        <v>74715.13</v>
      </c>
      <c r="I663" s="973"/>
      <c r="J663" s="973"/>
      <c r="K663" s="529"/>
      <c r="L663" s="949">
        <v>0</v>
      </c>
      <c r="M663" s="949">
        <v>0</v>
      </c>
      <c r="N663" s="977">
        <v>0</v>
      </c>
      <c r="O663" s="978">
        <v>0</v>
      </c>
      <c r="P663" s="783" t="s">
        <v>395</v>
      </c>
      <c r="Q663" s="996"/>
      <c r="R663" s="997"/>
    </row>
    <row r="664" spans="1:18" s="434" customFormat="1" ht="69.75" customHeight="1">
      <c r="A664" s="559"/>
      <c r="B664" s="471"/>
      <c r="C664" s="560" t="s">
        <v>52</v>
      </c>
      <c r="D664" s="561"/>
      <c r="E664" s="562" t="s">
        <v>188</v>
      </c>
      <c r="F664" s="563"/>
      <c r="G664" s="563"/>
      <c r="H664" s="563"/>
      <c r="I664" s="563"/>
      <c r="J664" s="563"/>
      <c r="K664" s="565">
        <v>220000</v>
      </c>
      <c r="L664" s="564">
        <f t="shared" ref="L664:L668" si="77">SUM(F664:K664)</f>
        <v>220000</v>
      </c>
      <c r="M664" s="564">
        <v>246000</v>
      </c>
      <c r="N664" s="564">
        <v>152004.93</v>
      </c>
      <c r="O664" s="763">
        <f>N664/M664</f>
        <v>0.61790621951219504</v>
      </c>
      <c r="P664" s="765" t="s">
        <v>395</v>
      </c>
      <c r="Q664" s="651"/>
    </row>
    <row r="665" spans="1:18" s="434" customFormat="1" ht="69.75" customHeight="1">
      <c r="A665" s="559"/>
      <c r="B665" s="471"/>
      <c r="C665" s="560" t="s">
        <v>59</v>
      </c>
      <c r="D665" s="561"/>
      <c r="E665" s="562" t="s">
        <v>298</v>
      </c>
      <c r="F665" s="563"/>
      <c r="G665" s="563"/>
      <c r="H665" s="563"/>
      <c r="I665" s="563"/>
      <c r="J665" s="563"/>
      <c r="K665" s="565">
        <v>550000</v>
      </c>
      <c r="L665" s="564">
        <f t="shared" si="77"/>
        <v>550000</v>
      </c>
      <c r="M665" s="564">
        <v>550000</v>
      </c>
      <c r="N665" s="564">
        <v>216291.02</v>
      </c>
      <c r="O665" s="763">
        <f>N665/M665</f>
        <v>0.39325640000000001</v>
      </c>
      <c r="P665" s="765" t="s">
        <v>395</v>
      </c>
      <c r="Q665" s="651"/>
    </row>
    <row r="666" spans="1:18" s="434" customFormat="1" ht="69.75" customHeight="1">
      <c r="A666" s="559"/>
      <c r="B666" s="471"/>
      <c r="C666" s="560" t="s">
        <v>151</v>
      </c>
      <c r="D666" s="561"/>
      <c r="E666" s="562" t="s">
        <v>302</v>
      </c>
      <c r="F666" s="563"/>
      <c r="G666" s="563"/>
      <c r="H666" s="563"/>
      <c r="I666" s="563"/>
      <c r="J666" s="563"/>
      <c r="K666" s="565">
        <v>220000</v>
      </c>
      <c r="L666" s="564">
        <f t="shared" si="77"/>
        <v>220000</v>
      </c>
      <c r="M666" s="564">
        <v>235000</v>
      </c>
      <c r="N666" s="564">
        <v>115956.33</v>
      </c>
      <c r="O666" s="763">
        <f>N666/M666</f>
        <v>0.49343119148936171</v>
      </c>
      <c r="P666" s="765" t="s">
        <v>395</v>
      </c>
      <c r="Q666" s="651"/>
    </row>
    <row r="667" spans="1:18" s="434" customFormat="1" ht="144" customHeight="1">
      <c r="A667" s="559"/>
      <c r="B667" s="471"/>
      <c r="C667" s="568" t="s">
        <v>289</v>
      </c>
      <c r="D667" s="561"/>
      <c r="E667" s="562" t="s">
        <v>230</v>
      </c>
      <c r="F667" s="563"/>
      <c r="G667" s="563"/>
      <c r="H667" s="563"/>
      <c r="I667" s="563"/>
      <c r="J667" s="563"/>
      <c r="K667" s="565">
        <v>120000</v>
      </c>
      <c r="L667" s="564">
        <f t="shared" si="77"/>
        <v>120000</v>
      </c>
      <c r="M667" s="564">
        <v>120000</v>
      </c>
      <c r="N667" s="564">
        <v>9769.2000000000007</v>
      </c>
      <c r="O667" s="763">
        <f>N667/M667</f>
        <v>8.141000000000001E-2</v>
      </c>
      <c r="P667" s="785" t="s">
        <v>395</v>
      </c>
      <c r="Q667" s="651"/>
    </row>
    <row r="668" spans="1:18" s="434" customFormat="1" ht="139.5" customHeight="1">
      <c r="A668" s="559"/>
      <c r="B668" s="471"/>
      <c r="C668" s="568" t="s">
        <v>297</v>
      </c>
      <c r="D668" s="561"/>
      <c r="E668" s="562" t="s">
        <v>231</v>
      </c>
      <c r="F668" s="563"/>
      <c r="G668" s="563"/>
      <c r="H668" s="563"/>
      <c r="I668" s="563"/>
      <c r="J668" s="563"/>
      <c r="K668" s="565">
        <v>40000</v>
      </c>
      <c r="L668" s="564">
        <f t="shared" si="77"/>
        <v>40000</v>
      </c>
      <c r="M668" s="564">
        <v>40000</v>
      </c>
      <c r="N668" s="564">
        <v>13293.39</v>
      </c>
      <c r="O668" s="763">
        <f>N668/M668</f>
        <v>0.33233475000000001</v>
      </c>
      <c r="P668" s="785" t="s">
        <v>395</v>
      </c>
      <c r="Q668" s="651"/>
    </row>
    <row r="669" spans="1:18" s="76" customFormat="1" ht="57" customHeight="1">
      <c r="A669" s="573"/>
      <c r="B669" s="75">
        <v>80106</v>
      </c>
      <c r="C669" s="74"/>
      <c r="D669" s="73"/>
      <c r="E669" s="72" t="s">
        <v>267</v>
      </c>
      <c r="F669" s="409">
        <f>F670</f>
        <v>0</v>
      </c>
      <c r="G669" s="409">
        <f t="shared" ref="G669:M669" si="78">G670</f>
        <v>0</v>
      </c>
      <c r="H669" s="409">
        <f t="shared" si="78"/>
        <v>0</v>
      </c>
      <c r="I669" s="409">
        <f t="shared" si="78"/>
        <v>0</v>
      </c>
      <c r="J669" s="409">
        <f t="shared" si="78"/>
        <v>0</v>
      </c>
      <c r="K669" s="409">
        <f t="shared" si="78"/>
        <v>4000</v>
      </c>
      <c r="L669" s="92">
        <f t="shared" si="78"/>
        <v>4000</v>
      </c>
      <c r="M669" s="92">
        <f t="shared" si="78"/>
        <v>4000</v>
      </c>
      <c r="N669" s="92">
        <v>0</v>
      </c>
      <c r="O669" s="755">
        <v>0</v>
      </c>
      <c r="P669" s="764" t="s">
        <v>395</v>
      </c>
      <c r="Q669" s="650"/>
    </row>
    <row r="670" spans="1:18" s="434" customFormat="1" ht="139.5" customHeight="1">
      <c r="A670" s="559"/>
      <c r="B670" s="471"/>
      <c r="C670" s="568">
        <v>1</v>
      </c>
      <c r="D670" s="561"/>
      <c r="E670" s="562" t="s">
        <v>231</v>
      </c>
      <c r="F670" s="563"/>
      <c r="G670" s="563"/>
      <c r="H670" s="563"/>
      <c r="I670" s="563"/>
      <c r="J670" s="563"/>
      <c r="K670" s="565">
        <v>4000</v>
      </c>
      <c r="L670" s="564">
        <f t="shared" ref="L670" si="79">SUM(F670:K670)</f>
        <v>4000</v>
      </c>
      <c r="M670" s="564">
        <v>4000</v>
      </c>
      <c r="N670" s="564">
        <v>0</v>
      </c>
      <c r="O670" s="763">
        <v>0</v>
      </c>
      <c r="P670" s="785" t="s">
        <v>395</v>
      </c>
      <c r="Q670" s="651"/>
    </row>
    <row r="671" spans="1:18" s="76" customFormat="1" ht="57" customHeight="1">
      <c r="A671" s="573"/>
      <c r="B671" s="75">
        <v>80110</v>
      </c>
      <c r="C671" s="74"/>
      <c r="D671" s="73"/>
      <c r="E671" s="72" t="s">
        <v>58</v>
      </c>
      <c r="F671" s="409">
        <f t="shared" ref="F671:K671" si="80">F672+F759</f>
        <v>0</v>
      </c>
      <c r="G671" s="409">
        <f t="shared" si="80"/>
        <v>0</v>
      </c>
      <c r="H671" s="409">
        <f t="shared" si="80"/>
        <v>0</v>
      </c>
      <c r="I671" s="409">
        <f t="shared" si="80"/>
        <v>0</v>
      </c>
      <c r="J671" s="409">
        <f t="shared" si="80"/>
        <v>0</v>
      </c>
      <c r="K671" s="409">
        <f t="shared" si="80"/>
        <v>4478000</v>
      </c>
      <c r="L671" s="92">
        <f>L672+L759</f>
        <v>4478000</v>
      </c>
      <c r="M671" s="92">
        <f t="shared" ref="M671:N671" si="81">M672+M759</f>
        <v>4406845</v>
      </c>
      <c r="N671" s="92">
        <f t="shared" si="81"/>
        <v>2710040.33</v>
      </c>
      <c r="O671" s="755">
        <f>N671/M671</f>
        <v>0.61496157228130333</v>
      </c>
      <c r="P671" s="764" t="s">
        <v>395</v>
      </c>
      <c r="Q671" s="650"/>
    </row>
    <row r="672" spans="1:18" s="186" customFormat="1" ht="57" customHeight="1">
      <c r="A672" s="487"/>
      <c r="B672" s="173"/>
      <c r="C672" s="190" t="s">
        <v>21</v>
      </c>
      <c r="D672" s="189"/>
      <c r="E672" s="283" t="s">
        <v>148</v>
      </c>
      <c r="F672" s="432"/>
      <c r="G672" s="432"/>
      <c r="H672" s="432"/>
      <c r="I672" s="432"/>
      <c r="J672" s="432"/>
      <c r="K672" s="432">
        <f>K673+K716</f>
        <v>4363000</v>
      </c>
      <c r="L672" s="432">
        <f>L673+L716</f>
        <v>4363000</v>
      </c>
      <c r="M672" s="432">
        <f t="shared" ref="M672:N672" si="82">M673+M716</f>
        <v>4236845</v>
      </c>
      <c r="N672" s="432">
        <f t="shared" si="82"/>
        <v>2630322.89</v>
      </c>
      <c r="O672" s="819">
        <f>N672/M672</f>
        <v>0.62082112751351537</v>
      </c>
      <c r="P672" s="780" t="s">
        <v>395</v>
      </c>
      <c r="Q672" s="664"/>
    </row>
    <row r="673" spans="1:18" s="211" customFormat="1" ht="57" customHeight="1">
      <c r="A673" s="424"/>
      <c r="B673" s="214"/>
      <c r="C673" s="394">
        <v>1</v>
      </c>
      <c r="D673" s="425"/>
      <c r="E673" s="544" t="s">
        <v>220</v>
      </c>
      <c r="F673" s="545"/>
      <c r="G673" s="545"/>
      <c r="H673" s="545"/>
      <c r="I673" s="545"/>
      <c r="J673" s="545"/>
      <c r="K673" s="428">
        <v>2525000</v>
      </c>
      <c r="L673" s="428">
        <f>L674+L693+L715</f>
        <v>2525000</v>
      </c>
      <c r="M673" s="428">
        <f t="shared" ref="M673:N673" si="83">M674+M693+M715</f>
        <v>2398845</v>
      </c>
      <c r="N673" s="428">
        <f t="shared" si="83"/>
        <v>1556417.09</v>
      </c>
      <c r="O673" s="872">
        <f>N673/M673</f>
        <v>0.64881936515281313</v>
      </c>
      <c r="P673" s="772" t="s">
        <v>395</v>
      </c>
      <c r="Q673" s="656"/>
    </row>
    <row r="674" spans="1:18" s="431" customFormat="1" ht="39.9" customHeight="1">
      <c r="A674" s="987"/>
      <c r="B674" s="944"/>
      <c r="C674" s="458"/>
      <c r="D674" s="444"/>
      <c r="E674" s="945" t="s">
        <v>412</v>
      </c>
      <c r="F674" s="976"/>
      <c r="G674" s="946"/>
      <c r="H674" s="946"/>
      <c r="I674" s="946"/>
      <c r="J674" s="947"/>
      <c r="K674" s="948"/>
      <c r="L674" s="949">
        <v>2048000</v>
      </c>
      <c r="M674" s="949">
        <v>1930848</v>
      </c>
      <c r="N674" s="977">
        <f>SUM(N676:N692)</f>
        <v>1316382.3400000001</v>
      </c>
      <c r="O674" s="978">
        <f>N674/M674</f>
        <v>0.68176383640763027</v>
      </c>
      <c r="P674" s="780" t="s">
        <v>395</v>
      </c>
      <c r="Q674" s="908"/>
      <c r="R674" s="951"/>
    </row>
    <row r="675" spans="1:18" s="440" customFormat="1" ht="34.5" customHeight="1">
      <c r="A675" s="984"/>
      <c r="B675" s="972"/>
      <c r="C675" s="450"/>
      <c r="D675" s="438"/>
      <c r="E675" s="952" t="s">
        <v>13</v>
      </c>
      <c r="F675" s="985"/>
      <c r="G675" s="973"/>
      <c r="H675" s="973"/>
      <c r="I675" s="973"/>
      <c r="J675" s="973"/>
      <c r="K675" s="383"/>
      <c r="L675" s="980"/>
      <c r="M675" s="980"/>
      <c r="N675" s="980"/>
      <c r="O675" s="981"/>
      <c r="P675" s="772"/>
      <c r="Q675" s="812"/>
      <c r="R675" s="953"/>
    </row>
    <row r="676" spans="1:18" s="440" customFormat="1" ht="57" customHeight="1">
      <c r="A676" s="984"/>
      <c r="B676" s="972"/>
      <c r="C676" s="450"/>
      <c r="D676" s="425"/>
      <c r="E676" s="954" t="s">
        <v>543</v>
      </c>
      <c r="F676" s="985"/>
      <c r="G676" s="973"/>
      <c r="H676" s="973"/>
      <c r="I676" s="973"/>
      <c r="J676" s="973"/>
      <c r="K676" s="383"/>
      <c r="L676" s="955"/>
      <c r="M676" s="955"/>
      <c r="N676" s="983">
        <v>628634.42000000004</v>
      </c>
      <c r="O676" s="981"/>
      <c r="P676" s="772"/>
      <c r="Q676" s="812"/>
      <c r="R676" s="953"/>
    </row>
    <row r="677" spans="1:18" s="440" customFormat="1" ht="57" customHeight="1">
      <c r="A677" s="984"/>
      <c r="B677" s="972"/>
      <c r="C677" s="450"/>
      <c r="D677" s="438"/>
      <c r="E677" s="954" t="s">
        <v>478</v>
      </c>
      <c r="F677" s="985"/>
      <c r="G677" s="973"/>
      <c r="H677" s="973"/>
      <c r="I677" s="973"/>
      <c r="J677" s="973"/>
      <c r="K677" s="383"/>
      <c r="L677" s="955"/>
      <c r="M677" s="955"/>
      <c r="N677" s="983">
        <v>0</v>
      </c>
      <c r="O677" s="981"/>
      <c r="P677" s="772"/>
      <c r="Q677" s="812"/>
      <c r="R677" s="953"/>
    </row>
    <row r="678" spans="1:18" s="440" customFormat="1" ht="57" customHeight="1">
      <c r="A678" s="984"/>
      <c r="B678" s="972"/>
      <c r="C678" s="450"/>
      <c r="D678" s="438"/>
      <c r="E678" s="954" t="s">
        <v>544</v>
      </c>
      <c r="F678" s="985"/>
      <c r="G678" s="973"/>
      <c r="H678" s="973"/>
      <c r="I678" s="973"/>
      <c r="J678" s="973"/>
      <c r="K678" s="383"/>
      <c r="L678" s="955"/>
      <c r="M678" s="955"/>
      <c r="N678" s="983">
        <v>43663.96</v>
      </c>
      <c r="O678" s="981"/>
      <c r="P678" s="772"/>
      <c r="Q678" s="812"/>
      <c r="R678" s="953"/>
    </row>
    <row r="679" spans="1:18" s="440" customFormat="1" ht="57" customHeight="1">
      <c r="A679" s="984"/>
      <c r="B679" s="972"/>
      <c r="C679" s="450"/>
      <c r="D679" s="438"/>
      <c r="E679" s="954" t="s">
        <v>545</v>
      </c>
      <c r="F679" s="985"/>
      <c r="G679" s="973"/>
      <c r="H679" s="973"/>
      <c r="I679" s="973"/>
      <c r="J679" s="973"/>
      <c r="K679" s="383"/>
      <c r="L679" s="955"/>
      <c r="M679" s="955"/>
      <c r="N679" s="983">
        <v>19530.78</v>
      </c>
      <c r="O679" s="981"/>
      <c r="P679" s="772"/>
      <c r="Q679" s="812"/>
      <c r="R679" s="953"/>
    </row>
    <row r="680" spans="1:18" s="440" customFormat="1" ht="36" customHeight="1">
      <c r="A680" s="984"/>
      <c r="B680" s="972"/>
      <c r="C680" s="450"/>
      <c r="D680" s="438"/>
      <c r="E680" s="954" t="s">
        <v>528</v>
      </c>
      <c r="F680" s="985"/>
      <c r="G680" s="973"/>
      <c r="H680" s="973"/>
      <c r="I680" s="973"/>
      <c r="J680" s="973"/>
      <c r="K680" s="383"/>
      <c r="L680" s="955"/>
      <c r="M680" s="955"/>
      <c r="N680" s="983">
        <v>7811.12</v>
      </c>
      <c r="O680" s="981"/>
      <c r="P680" s="772"/>
      <c r="Q680" s="812"/>
      <c r="R680" s="953"/>
    </row>
    <row r="681" spans="1:18" s="440" customFormat="1" ht="36" customHeight="1">
      <c r="A681" s="984"/>
      <c r="B681" s="972"/>
      <c r="C681" s="450"/>
      <c r="D681" s="438"/>
      <c r="E681" s="954" t="s">
        <v>437</v>
      </c>
      <c r="F681" s="985"/>
      <c r="G681" s="973"/>
      <c r="H681" s="973"/>
      <c r="I681" s="973"/>
      <c r="J681" s="973"/>
      <c r="K681" s="383"/>
      <c r="L681" s="955"/>
      <c r="M681" s="955"/>
      <c r="N681" s="983">
        <v>0</v>
      </c>
      <c r="O681" s="981"/>
      <c r="P681" s="772"/>
      <c r="Q681" s="812"/>
      <c r="R681" s="953"/>
    </row>
    <row r="682" spans="1:18" s="440" customFormat="1" ht="36" customHeight="1">
      <c r="A682" s="984"/>
      <c r="B682" s="972"/>
      <c r="C682" s="450"/>
      <c r="D682" s="438"/>
      <c r="E682" s="954" t="s">
        <v>546</v>
      </c>
      <c r="F682" s="985"/>
      <c r="G682" s="973"/>
      <c r="H682" s="973"/>
      <c r="I682" s="973"/>
      <c r="J682" s="973"/>
      <c r="K682" s="383"/>
      <c r="L682" s="955"/>
      <c r="M682" s="955"/>
      <c r="N682" s="983">
        <v>607.92999999999995</v>
      </c>
      <c r="O682" s="981"/>
      <c r="P682" s="772"/>
      <c r="Q682" s="812"/>
      <c r="R682" s="953"/>
    </row>
    <row r="683" spans="1:18" s="440" customFormat="1" ht="36" customHeight="1">
      <c r="A683" s="984"/>
      <c r="B683" s="972"/>
      <c r="C683" s="450"/>
      <c r="D683" s="438"/>
      <c r="E683" s="954" t="s">
        <v>490</v>
      </c>
      <c r="F683" s="985"/>
      <c r="G683" s="973"/>
      <c r="H683" s="973"/>
      <c r="I683" s="973"/>
      <c r="J683" s="973"/>
      <c r="K683" s="383"/>
      <c r="L683" s="955"/>
      <c r="M683" s="955"/>
      <c r="N683" s="983">
        <v>926.59</v>
      </c>
      <c r="O683" s="981"/>
      <c r="P683" s="772"/>
      <c r="Q683" s="812"/>
      <c r="R683" s="953"/>
    </row>
    <row r="684" spans="1:18" s="440" customFormat="1" ht="36" customHeight="1">
      <c r="A684" s="984"/>
      <c r="B684" s="972"/>
      <c r="C684" s="450"/>
      <c r="D684" s="438"/>
      <c r="E684" s="954" t="s">
        <v>439</v>
      </c>
      <c r="F684" s="985"/>
      <c r="G684" s="973"/>
      <c r="H684" s="973"/>
      <c r="I684" s="973"/>
      <c r="J684" s="973"/>
      <c r="K684" s="383"/>
      <c r="L684" s="955"/>
      <c r="M684" s="955"/>
      <c r="N684" s="983">
        <v>0</v>
      </c>
      <c r="O684" s="981"/>
      <c r="P684" s="772"/>
      <c r="Q684" s="812"/>
      <c r="R684" s="953"/>
    </row>
    <row r="685" spans="1:18" s="440" customFormat="1" ht="36" customHeight="1">
      <c r="A685" s="984"/>
      <c r="B685" s="972"/>
      <c r="C685" s="450"/>
      <c r="D685" s="438"/>
      <c r="E685" s="954" t="s">
        <v>440</v>
      </c>
      <c r="F685" s="985"/>
      <c r="G685" s="973"/>
      <c r="H685" s="973"/>
      <c r="I685" s="973"/>
      <c r="J685" s="973"/>
      <c r="K685" s="383"/>
      <c r="L685" s="955"/>
      <c r="M685" s="955"/>
      <c r="N685" s="983">
        <v>0</v>
      </c>
      <c r="O685" s="981"/>
      <c r="P685" s="772"/>
      <c r="Q685" s="812"/>
      <c r="R685" s="953"/>
    </row>
    <row r="686" spans="1:18" s="440" customFormat="1" ht="36" customHeight="1">
      <c r="A686" s="984"/>
      <c r="B686" s="972"/>
      <c r="C686" s="450"/>
      <c r="D686" s="438"/>
      <c r="E686" s="954" t="s">
        <v>441</v>
      </c>
      <c r="F686" s="985"/>
      <c r="G686" s="973"/>
      <c r="H686" s="973"/>
      <c r="I686" s="973"/>
      <c r="J686" s="973"/>
      <c r="K686" s="383"/>
      <c r="L686" s="955"/>
      <c r="M686" s="955"/>
      <c r="N686" s="983">
        <v>0</v>
      </c>
      <c r="O686" s="981"/>
      <c r="P686" s="772"/>
      <c r="Q686" s="812"/>
      <c r="R686" s="953"/>
    </row>
    <row r="687" spans="1:18" s="440" customFormat="1" ht="57" customHeight="1">
      <c r="A687" s="984"/>
      <c r="B687" s="972"/>
      <c r="C687" s="450"/>
      <c r="D687" s="438"/>
      <c r="E687" s="954" t="s">
        <v>547</v>
      </c>
      <c r="F687" s="985"/>
      <c r="G687" s="973"/>
      <c r="H687" s="973"/>
      <c r="I687" s="973"/>
      <c r="J687" s="973"/>
      <c r="K687" s="383"/>
      <c r="L687" s="955"/>
      <c r="M687" s="955"/>
      <c r="N687" s="983">
        <v>230877.78</v>
      </c>
      <c r="O687" s="981"/>
      <c r="P687" s="772"/>
      <c r="Q687" s="812"/>
      <c r="R687" s="953"/>
    </row>
    <row r="688" spans="1:18" s="440" customFormat="1" ht="36" customHeight="1">
      <c r="A688" s="984"/>
      <c r="B688" s="972"/>
      <c r="C688" s="450"/>
      <c r="D688" s="438"/>
      <c r="E688" s="954" t="s">
        <v>442</v>
      </c>
      <c r="F688" s="985"/>
      <c r="G688" s="973"/>
      <c r="H688" s="973"/>
      <c r="I688" s="973"/>
      <c r="J688" s="973"/>
      <c r="K688" s="383"/>
      <c r="L688" s="955"/>
      <c r="M688" s="955"/>
      <c r="N688" s="983">
        <v>0</v>
      </c>
      <c r="O688" s="981"/>
      <c r="P688" s="772"/>
      <c r="Q688" s="812"/>
      <c r="R688" s="953"/>
    </row>
    <row r="689" spans="1:18" s="440" customFormat="1" ht="36" customHeight="1">
      <c r="A689" s="984"/>
      <c r="B689" s="972"/>
      <c r="C689" s="450"/>
      <c r="D689" s="438"/>
      <c r="E689" s="954" t="s">
        <v>443</v>
      </c>
      <c r="F689" s="985"/>
      <c r="G689" s="973"/>
      <c r="H689" s="973"/>
      <c r="I689" s="973"/>
      <c r="J689" s="973"/>
      <c r="K689" s="383"/>
      <c r="L689" s="955"/>
      <c r="M689" s="955"/>
      <c r="N689" s="983">
        <v>168886.79</v>
      </c>
      <c r="O689" s="981"/>
      <c r="P689" s="772"/>
      <c r="Q689" s="812"/>
      <c r="R689" s="953"/>
    </row>
    <row r="690" spans="1:18" s="440" customFormat="1" ht="36" customHeight="1">
      <c r="A690" s="984"/>
      <c r="B690" s="972"/>
      <c r="C690" s="450"/>
      <c r="D690" s="438"/>
      <c r="E690" s="954" t="s">
        <v>444</v>
      </c>
      <c r="F690" s="985"/>
      <c r="G690" s="973"/>
      <c r="H690" s="973"/>
      <c r="I690" s="973"/>
      <c r="J690" s="973"/>
      <c r="K690" s="383"/>
      <c r="L690" s="955"/>
      <c r="M690" s="955"/>
      <c r="N690" s="983">
        <v>3506</v>
      </c>
      <c r="O690" s="981"/>
      <c r="P690" s="772"/>
      <c r="Q690" s="812"/>
      <c r="R690" s="953"/>
    </row>
    <row r="691" spans="1:18" s="440" customFormat="1" ht="55.5" customHeight="1">
      <c r="A691" s="984"/>
      <c r="B691" s="972"/>
      <c r="C691" s="450"/>
      <c r="D691" s="438"/>
      <c r="E691" s="954" t="s">
        <v>548</v>
      </c>
      <c r="F691" s="985"/>
      <c r="G691" s="973"/>
      <c r="H691" s="973"/>
      <c r="I691" s="973"/>
      <c r="J691" s="973"/>
      <c r="K691" s="383"/>
      <c r="L691" s="955"/>
      <c r="M691" s="955"/>
      <c r="N691" s="983">
        <v>9610.7999999999993</v>
      </c>
      <c r="O691" s="981"/>
      <c r="P691" s="772"/>
      <c r="Q691" s="812"/>
      <c r="R691" s="953"/>
    </row>
    <row r="692" spans="1:18" s="440" customFormat="1" ht="36" customHeight="1">
      <c r="A692" s="984"/>
      <c r="B692" s="972"/>
      <c r="C692" s="450"/>
      <c r="D692" s="438"/>
      <c r="E692" s="954" t="s">
        <v>446</v>
      </c>
      <c r="F692" s="985"/>
      <c r="G692" s="973"/>
      <c r="H692" s="973"/>
      <c r="I692" s="973"/>
      <c r="J692" s="973"/>
      <c r="K692" s="383"/>
      <c r="L692" s="955"/>
      <c r="M692" s="955"/>
      <c r="N692" s="983">
        <v>202326.17</v>
      </c>
      <c r="O692" s="981"/>
      <c r="P692" s="772"/>
      <c r="Q692" s="812"/>
      <c r="R692" s="953"/>
    </row>
    <row r="693" spans="1:18" s="440" customFormat="1" ht="57" customHeight="1">
      <c r="A693" s="984"/>
      <c r="B693" s="972"/>
      <c r="C693" s="986"/>
      <c r="D693" s="438"/>
      <c r="E693" s="945" t="s">
        <v>418</v>
      </c>
      <c r="F693" s="949">
        <v>117300</v>
      </c>
      <c r="G693" s="949">
        <v>111778</v>
      </c>
      <c r="H693" s="949">
        <v>74715.13</v>
      </c>
      <c r="I693" s="973"/>
      <c r="J693" s="973"/>
      <c r="K693" s="529"/>
      <c r="L693" s="949">
        <v>477000</v>
      </c>
      <c r="M693" s="949">
        <v>467997</v>
      </c>
      <c r="N693" s="977">
        <f>SUM(N694:N714)</f>
        <v>240034.74999999997</v>
      </c>
      <c r="O693" s="978">
        <f>N693/M693</f>
        <v>0.51289805276529543</v>
      </c>
      <c r="P693" s="772" t="s">
        <v>395</v>
      </c>
      <c r="Q693" s="812"/>
      <c r="R693" s="953"/>
    </row>
    <row r="694" spans="1:18" s="440" customFormat="1" ht="83.25" customHeight="1">
      <c r="A694" s="984"/>
      <c r="B694" s="972"/>
      <c r="C694" s="986"/>
      <c r="D694" s="438"/>
      <c r="E694" s="957" t="s">
        <v>447</v>
      </c>
      <c r="F694" s="958"/>
      <c r="G694" s="958"/>
      <c r="H694" s="958">
        <v>0</v>
      </c>
      <c r="I694" s="973"/>
      <c r="J694" s="973"/>
      <c r="K694" s="529"/>
      <c r="L694" s="958"/>
      <c r="M694" s="958"/>
      <c r="N694" s="983">
        <v>93.73</v>
      </c>
      <c r="O694" s="981"/>
      <c r="P694" s="772"/>
      <c r="Q694" s="812"/>
      <c r="R694" s="953"/>
    </row>
    <row r="695" spans="1:18" s="440" customFormat="1" ht="36" customHeight="1">
      <c r="A695" s="984"/>
      <c r="B695" s="972"/>
      <c r="C695" s="450"/>
      <c r="D695" s="438"/>
      <c r="E695" s="957" t="s">
        <v>549</v>
      </c>
      <c r="F695" s="958"/>
      <c r="G695" s="958"/>
      <c r="H695" s="958">
        <v>0</v>
      </c>
      <c r="I695" s="973"/>
      <c r="J695" s="973"/>
      <c r="K695" s="529"/>
      <c r="L695" s="958"/>
      <c r="M695" s="958"/>
      <c r="N695" s="983">
        <v>300</v>
      </c>
      <c r="O695" s="981"/>
      <c r="P695" s="772"/>
      <c r="Q695" s="812"/>
      <c r="R695" s="953"/>
    </row>
    <row r="696" spans="1:18" s="440" customFormat="1" ht="36" customHeight="1">
      <c r="A696" s="984"/>
      <c r="B696" s="972"/>
      <c r="C696" s="450"/>
      <c r="D696" s="438"/>
      <c r="E696" s="957" t="s">
        <v>449</v>
      </c>
      <c r="F696" s="958"/>
      <c r="G696" s="958"/>
      <c r="H696" s="958">
        <v>0</v>
      </c>
      <c r="I696" s="973"/>
      <c r="J696" s="973"/>
      <c r="K696" s="529"/>
      <c r="L696" s="958"/>
      <c r="M696" s="958"/>
      <c r="N696" s="983">
        <v>0</v>
      </c>
      <c r="O696" s="981"/>
      <c r="P696" s="772"/>
      <c r="Q696" s="812"/>
      <c r="R696" s="953"/>
    </row>
    <row r="697" spans="1:18" s="440" customFormat="1" ht="36" customHeight="1">
      <c r="A697" s="984"/>
      <c r="B697" s="972"/>
      <c r="C697" s="450"/>
      <c r="D697" s="438"/>
      <c r="E697" s="957" t="s">
        <v>450</v>
      </c>
      <c r="F697" s="958"/>
      <c r="G697" s="958"/>
      <c r="H697" s="958">
        <v>0</v>
      </c>
      <c r="I697" s="973"/>
      <c r="J697" s="973"/>
      <c r="K697" s="529"/>
      <c r="L697" s="958"/>
      <c r="M697" s="958"/>
      <c r="N697" s="983">
        <v>0</v>
      </c>
      <c r="O697" s="981"/>
      <c r="P697" s="772"/>
      <c r="Q697" s="812"/>
      <c r="R697" s="953"/>
    </row>
    <row r="698" spans="1:18" s="440" customFormat="1" ht="36" customHeight="1">
      <c r="A698" s="984"/>
      <c r="B698" s="972"/>
      <c r="C698" s="450"/>
      <c r="D698" s="438"/>
      <c r="E698" s="957" t="s">
        <v>451</v>
      </c>
      <c r="F698" s="958"/>
      <c r="G698" s="958"/>
      <c r="H698" s="958">
        <v>0</v>
      </c>
      <c r="I698" s="973"/>
      <c r="J698" s="973"/>
      <c r="K698" s="529"/>
      <c r="L698" s="958"/>
      <c r="M698" s="958"/>
      <c r="N698" s="983">
        <v>0</v>
      </c>
      <c r="O698" s="981"/>
      <c r="P698" s="772"/>
      <c r="Q698" s="812"/>
      <c r="R698" s="953"/>
    </row>
    <row r="699" spans="1:18" s="440" customFormat="1" ht="57" customHeight="1">
      <c r="A699" s="984"/>
      <c r="B699" s="972"/>
      <c r="C699" s="450"/>
      <c r="D699" s="438"/>
      <c r="E699" s="960" t="s">
        <v>550</v>
      </c>
      <c r="F699" s="958"/>
      <c r="G699" s="958"/>
      <c r="H699" s="958">
        <v>4300</v>
      </c>
      <c r="I699" s="973"/>
      <c r="J699" s="973"/>
      <c r="K699" s="529"/>
      <c r="L699" s="958"/>
      <c r="M699" s="958"/>
      <c r="N699" s="983">
        <v>1190.49</v>
      </c>
      <c r="O699" s="981"/>
      <c r="P699" s="772"/>
      <c r="Q699" s="812"/>
      <c r="R699" s="953"/>
    </row>
    <row r="700" spans="1:18" s="440" customFormat="1" ht="84" customHeight="1">
      <c r="A700" s="984"/>
      <c r="B700" s="972"/>
      <c r="C700" s="450"/>
      <c r="D700" s="438"/>
      <c r="E700" s="957" t="s">
        <v>452</v>
      </c>
      <c r="F700" s="958"/>
      <c r="G700" s="958"/>
      <c r="H700" s="958">
        <v>0</v>
      </c>
      <c r="I700" s="973"/>
      <c r="J700" s="973"/>
      <c r="K700" s="529"/>
      <c r="L700" s="958"/>
      <c r="M700" s="958"/>
      <c r="N700" s="983">
        <v>1747.07</v>
      </c>
      <c r="O700" s="981"/>
      <c r="P700" s="772"/>
      <c r="Q700" s="812"/>
      <c r="R700" s="953"/>
    </row>
    <row r="701" spans="1:18" s="440" customFormat="1" ht="61.5" customHeight="1">
      <c r="A701" s="984"/>
      <c r="B701" s="972"/>
      <c r="C701" s="450"/>
      <c r="D701" s="438"/>
      <c r="E701" s="957" t="s">
        <v>453</v>
      </c>
      <c r="F701" s="958"/>
      <c r="G701" s="958"/>
      <c r="H701" s="958">
        <v>0</v>
      </c>
      <c r="I701" s="973"/>
      <c r="J701" s="973"/>
      <c r="K701" s="529"/>
      <c r="L701" s="958"/>
      <c r="M701" s="958"/>
      <c r="N701" s="983">
        <v>0</v>
      </c>
      <c r="O701" s="981"/>
      <c r="P701" s="772"/>
      <c r="Q701" s="812"/>
      <c r="R701" s="953"/>
    </row>
    <row r="702" spans="1:18" s="440" customFormat="1" ht="36" customHeight="1">
      <c r="A702" s="984"/>
      <c r="B702" s="972"/>
      <c r="C702" s="450"/>
      <c r="D702" s="438"/>
      <c r="E702" s="957" t="s">
        <v>454</v>
      </c>
      <c r="F702" s="958"/>
      <c r="G702" s="958"/>
      <c r="H702" s="958">
        <v>0</v>
      </c>
      <c r="I702" s="973"/>
      <c r="J702" s="973"/>
      <c r="K702" s="529"/>
      <c r="L702" s="958"/>
      <c r="M702" s="958"/>
      <c r="N702" s="983">
        <v>9908.8799999999992</v>
      </c>
      <c r="O702" s="981"/>
      <c r="P702" s="772"/>
      <c r="Q702" s="812"/>
      <c r="R702" s="953"/>
    </row>
    <row r="703" spans="1:18" s="440" customFormat="1" ht="60.75" customHeight="1">
      <c r="A703" s="984"/>
      <c r="B703" s="972"/>
      <c r="C703" s="450"/>
      <c r="D703" s="438"/>
      <c r="E703" s="957" t="s">
        <v>455</v>
      </c>
      <c r="F703" s="958"/>
      <c r="G703" s="958"/>
      <c r="H703" s="958">
        <v>0</v>
      </c>
      <c r="I703" s="973"/>
      <c r="J703" s="973"/>
      <c r="K703" s="529"/>
      <c r="L703" s="958"/>
      <c r="M703" s="958"/>
      <c r="N703" s="983">
        <v>0</v>
      </c>
      <c r="O703" s="981"/>
      <c r="P703" s="772"/>
      <c r="Q703" s="812"/>
      <c r="R703" s="953"/>
    </row>
    <row r="704" spans="1:18" s="440" customFormat="1" ht="36" customHeight="1">
      <c r="A704" s="984"/>
      <c r="B704" s="972"/>
      <c r="C704" s="450"/>
      <c r="D704" s="438"/>
      <c r="E704" s="957" t="s">
        <v>456</v>
      </c>
      <c r="F704" s="958"/>
      <c r="G704" s="958"/>
      <c r="H704" s="958">
        <v>0</v>
      </c>
      <c r="I704" s="973"/>
      <c r="J704" s="973"/>
      <c r="K704" s="529"/>
      <c r="L704" s="958"/>
      <c r="M704" s="958"/>
      <c r="N704" s="983">
        <v>2915.41</v>
      </c>
      <c r="O704" s="981"/>
      <c r="P704" s="772"/>
      <c r="Q704" s="812"/>
      <c r="R704" s="953"/>
    </row>
    <row r="705" spans="1:18" s="440" customFormat="1" ht="64.5" customHeight="1">
      <c r="A705" s="984"/>
      <c r="B705" s="972"/>
      <c r="C705" s="450"/>
      <c r="D705" s="438"/>
      <c r="E705" s="957" t="s">
        <v>457</v>
      </c>
      <c r="F705" s="958"/>
      <c r="G705" s="958"/>
      <c r="H705" s="958">
        <v>0</v>
      </c>
      <c r="I705" s="973"/>
      <c r="J705" s="973"/>
      <c r="K705" s="529"/>
      <c r="L705" s="958"/>
      <c r="M705" s="958"/>
      <c r="N705" s="983">
        <v>0</v>
      </c>
      <c r="O705" s="981"/>
      <c r="P705" s="772"/>
      <c r="Q705" s="812"/>
      <c r="R705" s="953"/>
    </row>
    <row r="706" spans="1:18" s="440" customFormat="1" ht="36" customHeight="1">
      <c r="A706" s="984"/>
      <c r="B706" s="972"/>
      <c r="C706" s="450"/>
      <c r="D706" s="438"/>
      <c r="E706" s="957" t="s">
        <v>458</v>
      </c>
      <c r="F706" s="961"/>
      <c r="G706" s="961"/>
      <c r="H706" s="958">
        <v>32231.32</v>
      </c>
      <c r="I706" s="973"/>
      <c r="J706" s="973"/>
      <c r="K706" s="529"/>
      <c r="L706" s="961"/>
      <c r="M706" s="961"/>
      <c r="N706" s="983">
        <v>112206.2</v>
      </c>
      <c r="O706" s="981"/>
      <c r="P706" s="772"/>
      <c r="Q706" s="812"/>
      <c r="R706" s="953"/>
    </row>
    <row r="707" spans="1:18" s="440" customFormat="1" ht="36" customHeight="1">
      <c r="A707" s="984"/>
      <c r="B707" s="972"/>
      <c r="C707" s="450"/>
      <c r="D707" s="438"/>
      <c r="E707" s="957" t="s">
        <v>459</v>
      </c>
      <c r="F707" s="961"/>
      <c r="G707" s="961"/>
      <c r="H707" s="958">
        <v>0</v>
      </c>
      <c r="I707" s="973"/>
      <c r="J707" s="973"/>
      <c r="K707" s="529"/>
      <c r="L707" s="961"/>
      <c r="M707" s="961"/>
      <c r="N707" s="983">
        <v>6846.53</v>
      </c>
      <c r="O707" s="981"/>
      <c r="P707" s="772"/>
      <c r="Q707" s="812"/>
      <c r="R707" s="953"/>
    </row>
    <row r="708" spans="1:18" s="440" customFormat="1" ht="36" customHeight="1">
      <c r="A708" s="984"/>
      <c r="B708" s="972"/>
      <c r="C708" s="450"/>
      <c r="D708" s="438"/>
      <c r="E708" s="957" t="s">
        <v>460</v>
      </c>
      <c r="F708" s="961"/>
      <c r="G708" s="961"/>
      <c r="H708" s="958">
        <v>692</v>
      </c>
      <c r="I708" s="973"/>
      <c r="J708" s="973"/>
      <c r="K708" s="529"/>
      <c r="L708" s="961"/>
      <c r="M708" s="961"/>
      <c r="N708" s="983">
        <v>2617.4</v>
      </c>
      <c r="O708" s="981"/>
      <c r="P708" s="772"/>
      <c r="Q708" s="812"/>
      <c r="R708" s="953"/>
    </row>
    <row r="709" spans="1:18" s="440" customFormat="1" ht="36" customHeight="1">
      <c r="A709" s="984"/>
      <c r="B709" s="972"/>
      <c r="C709" s="450"/>
      <c r="D709" s="438"/>
      <c r="E709" s="957" t="s">
        <v>461</v>
      </c>
      <c r="F709" s="961"/>
      <c r="G709" s="961"/>
      <c r="H709" s="958">
        <v>35817</v>
      </c>
      <c r="I709" s="973"/>
      <c r="J709" s="973"/>
      <c r="K709" s="529"/>
      <c r="L709" s="961"/>
      <c r="M709" s="961"/>
      <c r="N709" s="983">
        <v>89463.89</v>
      </c>
      <c r="O709" s="981"/>
      <c r="P709" s="772"/>
      <c r="Q709" s="812"/>
      <c r="R709" s="953"/>
    </row>
    <row r="710" spans="1:18" s="440" customFormat="1" ht="36" customHeight="1">
      <c r="A710" s="984"/>
      <c r="B710" s="972"/>
      <c r="C710" s="450"/>
      <c r="D710" s="438"/>
      <c r="E710" s="957" t="s">
        <v>462</v>
      </c>
      <c r="F710" s="961"/>
      <c r="G710" s="961"/>
      <c r="H710" s="958">
        <v>0</v>
      </c>
      <c r="I710" s="973"/>
      <c r="J710" s="973"/>
      <c r="K710" s="529"/>
      <c r="L710" s="961"/>
      <c r="M710" s="961"/>
      <c r="N710" s="983">
        <v>0</v>
      </c>
      <c r="O710" s="981"/>
      <c r="P710" s="772"/>
      <c r="Q710" s="812"/>
      <c r="R710" s="953"/>
    </row>
    <row r="711" spans="1:18" s="440" customFormat="1" ht="62.25" customHeight="1">
      <c r="A711" s="984"/>
      <c r="B711" s="972"/>
      <c r="C711" s="450"/>
      <c r="D711" s="438"/>
      <c r="E711" s="957" t="s">
        <v>463</v>
      </c>
      <c r="F711" s="961"/>
      <c r="G711" s="961"/>
      <c r="H711" s="958">
        <v>0</v>
      </c>
      <c r="I711" s="973"/>
      <c r="J711" s="973"/>
      <c r="K711" s="529"/>
      <c r="L711" s="961"/>
      <c r="M711" s="961"/>
      <c r="N711" s="983">
        <v>0</v>
      </c>
      <c r="O711" s="981"/>
      <c r="P711" s="772"/>
      <c r="Q711" s="812"/>
      <c r="R711" s="953"/>
    </row>
    <row r="712" spans="1:18" s="440" customFormat="1" ht="36" customHeight="1">
      <c r="A712" s="984"/>
      <c r="B712" s="972"/>
      <c r="C712" s="450"/>
      <c r="D712" s="438"/>
      <c r="E712" s="957" t="s">
        <v>464</v>
      </c>
      <c r="F712" s="961"/>
      <c r="G712" s="961"/>
      <c r="H712" s="958">
        <v>0</v>
      </c>
      <c r="I712" s="973"/>
      <c r="J712" s="973"/>
      <c r="K712" s="529"/>
      <c r="L712" s="961"/>
      <c r="M712" s="961"/>
      <c r="N712" s="983">
        <v>0</v>
      </c>
      <c r="O712" s="981"/>
      <c r="P712" s="772"/>
      <c r="Q712" s="812"/>
      <c r="R712" s="953"/>
    </row>
    <row r="713" spans="1:18" s="440" customFormat="1" ht="36" customHeight="1">
      <c r="A713" s="984"/>
      <c r="B713" s="972"/>
      <c r="C713" s="450"/>
      <c r="D713" s="438"/>
      <c r="E713" s="957" t="s">
        <v>465</v>
      </c>
      <c r="F713" s="961"/>
      <c r="G713" s="961"/>
      <c r="H713" s="958">
        <v>0</v>
      </c>
      <c r="I713" s="973"/>
      <c r="J713" s="973"/>
      <c r="K713" s="529"/>
      <c r="L713" s="961"/>
      <c r="M713" s="961"/>
      <c r="N713" s="983">
        <v>1000</v>
      </c>
      <c r="O713" s="981"/>
      <c r="P713" s="772"/>
      <c r="Q713" s="812"/>
      <c r="R713" s="953"/>
    </row>
    <row r="714" spans="1:18" s="440" customFormat="1" ht="36" customHeight="1">
      <c r="A714" s="984"/>
      <c r="B714" s="972"/>
      <c r="C714" s="450"/>
      <c r="D714" s="438"/>
      <c r="E714" s="957" t="s">
        <v>466</v>
      </c>
      <c r="F714" s="961"/>
      <c r="G714" s="961"/>
      <c r="H714" s="958">
        <v>1674.81</v>
      </c>
      <c r="I714" s="973"/>
      <c r="J714" s="973"/>
      <c r="K714" s="529"/>
      <c r="L714" s="961"/>
      <c r="M714" s="961"/>
      <c r="N714" s="983">
        <v>11745.15</v>
      </c>
      <c r="O714" s="981"/>
      <c r="P714" s="772"/>
      <c r="Q714" s="812"/>
      <c r="R714" s="953"/>
    </row>
    <row r="715" spans="1:18" s="440" customFormat="1" ht="57" customHeight="1">
      <c r="A715" s="984"/>
      <c r="B715" s="972"/>
      <c r="C715" s="1007"/>
      <c r="D715" s="1008"/>
      <c r="E715" s="1009" t="s">
        <v>467</v>
      </c>
      <c r="F715" s="1010">
        <v>117300</v>
      </c>
      <c r="G715" s="1010">
        <v>111778</v>
      </c>
      <c r="H715" s="1010">
        <v>74715.13</v>
      </c>
      <c r="I715" s="1011"/>
      <c r="J715" s="1011"/>
      <c r="K715" s="1012"/>
      <c r="L715" s="1010">
        <v>0</v>
      </c>
      <c r="M715" s="1010">
        <v>0</v>
      </c>
      <c r="N715" s="1010">
        <v>0</v>
      </c>
      <c r="O715" s="1013">
        <v>0</v>
      </c>
      <c r="P715" s="772" t="s">
        <v>395</v>
      </c>
      <c r="Q715" s="812"/>
      <c r="R715" s="953"/>
    </row>
    <row r="716" spans="1:18" s="211" customFormat="1" ht="51.75" customHeight="1">
      <c r="A716" s="424"/>
      <c r="B716" s="214"/>
      <c r="C716" s="453">
        <v>2</v>
      </c>
      <c r="D716" s="282"/>
      <c r="E716" s="178" t="s">
        <v>283</v>
      </c>
      <c r="F716" s="521"/>
      <c r="G716" s="281"/>
      <c r="H716" s="281"/>
      <c r="I716" s="281"/>
      <c r="J716" s="277"/>
      <c r="K716" s="452">
        <v>1838000</v>
      </c>
      <c r="L716" s="452">
        <f>L717+L736+L758</f>
        <v>1838000</v>
      </c>
      <c r="M716" s="452">
        <f t="shared" ref="M716:N716" si="84">M717+M736+M758</f>
        <v>1838000</v>
      </c>
      <c r="N716" s="452">
        <f t="shared" si="84"/>
        <v>1073905.8</v>
      </c>
      <c r="O716" s="873">
        <f>N716/M716</f>
        <v>0.58427954298150164</v>
      </c>
      <c r="P716" s="772" t="s">
        <v>395</v>
      </c>
      <c r="Q716" s="656"/>
    </row>
    <row r="717" spans="1:18" s="431" customFormat="1" ht="39.9" customHeight="1">
      <c r="A717" s="987"/>
      <c r="B717" s="944"/>
      <c r="C717" s="458"/>
      <c r="D717" s="444"/>
      <c r="E717" s="945" t="s">
        <v>412</v>
      </c>
      <c r="F717" s="976"/>
      <c r="G717" s="946"/>
      <c r="H717" s="946"/>
      <c r="I717" s="946"/>
      <c r="J717" s="947"/>
      <c r="K717" s="948"/>
      <c r="L717" s="949">
        <v>1600000</v>
      </c>
      <c r="M717" s="949">
        <v>1600000</v>
      </c>
      <c r="N717" s="977">
        <f>SUM(N719:N735)</f>
        <v>894257.61</v>
      </c>
      <c r="O717" s="978">
        <f>N717/M717</f>
        <v>0.55891100625000001</v>
      </c>
      <c r="P717" s="780" t="s">
        <v>395</v>
      </c>
      <c r="Q717" s="908"/>
      <c r="R717" s="951"/>
    </row>
    <row r="718" spans="1:18" s="440" customFormat="1" ht="34.5" customHeight="1">
      <c r="A718" s="984"/>
      <c r="B718" s="972"/>
      <c r="C718" s="450"/>
      <c r="D718" s="438"/>
      <c r="E718" s="952" t="s">
        <v>13</v>
      </c>
      <c r="F718" s="985"/>
      <c r="G718" s="973"/>
      <c r="H718" s="973"/>
      <c r="I718" s="973"/>
      <c r="J718" s="973"/>
      <c r="K718" s="383"/>
      <c r="L718" s="980"/>
      <c r="M718" s="980"/>
      <c r="N718" s="980"/>
      <c r="O718" s="981"/>
      <c r="P718" s="772"/>
      <c r="Q718" s="812"/>
      <c r="R718" s="953"/>
    </row>
    <row r="719" spans="1:18" s="440" customFormat="1" ht="57" customHeight="1">
      <c r="A719" s="984"/>
      <c r="B719" s="972"/>
      <c r="C719" s="450"/>
      <c r="D719" s="425"/>
      <c r="E719" s="954" t="s">
        <v>584</v>
      </c>
      <c r="F719" s="985"/>
      <c r="G719" s="973"/>
      <c r="H719" s="973"/>
      <c r="I719" s="973"/>
      <c r="J719" s="973"/>
      <c r="K719" s="383"/>
      <c r="L719" s="955"/>
      <c r="M719" s="955"/>
      <c r="N719" s="983">
        <v>429001.71</v>
      </c>
      <c r="O719" s="981"/>
      <c r="P719" s="772"/>
      <c r="Q719" s="812"/>
      <c r="R719" s="953"/>
    </row>
    <row r="720" spans="1:18" s="440" customFormat="1" ht="57" customHeight="1">
      <c r="A720" s="984"/>
      <c r="B720" s="972"/>
      <c r="C720" s="450"/>
      <c r="D720" s="438"/>
      <c r="E720" s="954" t="s">
        <v>525</v>
      </c>
      <c r="F720" s="985"/>
      <c r="G720" s="973"/>
      <c r="H720" s="973"/>
      <c r="I720" s="973"/>
      <c r="J720" s="973"/>
      <c r="K720" s="383"/>
      <c r="L720" s="955"/>
      <c r="M720" s="955"/>
      <c r="N720" s="983">
        <v>23883</v>
      </c>
      <c r="O720" s="981"/>
      <c r="P720" s="772"/>
      <c r="Q720" s="812"/>
      <c r="R720" s="953"/>
    </row>
    <row r="721" spans="1:18" s="440" customFormat="1" ht="63.6" customHeight="1">
      <c r="A721" s="984"/>
      <c r="B721" s="972"/>
      <c r="C721" s="450"/>
      <c r="D721" s="438"/>
      <c r="E721" s="954" t="s">
        <v>581</v>
      </c>
      <c r="F721" s="985"/>
      <c r="G721" s="973"/>
      <c r="H721" s="973"/>
      <c r="I721" s="973"/>
      <c r="J721" s="973"/>
      <c r="K721" s="383"/>
      <c r="L721" s="955"/>
      <c r="M721" s="955"/>
      <c r="N721" s="983">
        <v>63197.07</v>
      </c>
      <c r="O721" s="981"/>
      <c r="P721" s="772"/>
      <c r="Q721" s="812"/>
      <c r="R721" s="953"/>
    </row>
    <row r="722" spans="1:18" s="440" customFormat="1" ht="57" customHeight="1">
      <c r="A722" s="984"/>
      <c r="B722" s="972"/>
      <c r="C722" s="450"/>
      <c r="D722" s="438"/>
      <c r="E722" s="954" t="s">
        <v>582</v>
      </c>
      <c r="F722" s="985"/>
      <c r="G722" s="973"/>
      <c r="H722" s="973"/>
      <c r="I722" s="973"/>
      <c r="J722" s="973"/>
      <c r="K722" s="383"/>
      <c r="L722" s="955"/>
      <c r="M722" s="955"/>
      <c r="N722" s="983">
        <v>6986.85</v>
      </c>
      <c r="O722" s="981"/>
      <c r="P722" s="772"/>
      <c r="Q722" s="812"/>
      <c r="R722" s="953"/>
    </row>
    <row r="723" spans="1:18" s="440" customFormat="1" ht="45.6" customHeight="1">
      <c r="A723" s="984"/>
      <c r="B723" s="972"/>
      <c r="C723" s="450"/>
      <c r="D723" s="438"/>
      <c r="E723" s="954" t="s">
        <v>585</v>
      </c>
      <c r="F723" s="985"/>
      <c r="G723" s="973"/>
      <c r="H723" s="973"/>
      <c r="I723" s="973"/>
      <c r="J723" s="973"/>
      <c r="K723" s="383"/>
      <c r="L723" s="955"/>
      <c r="M723" s="955"/>
      <c r="N723" s="983">
        <v>14173.02</v>
      </c>
      <c r="O723" s="981"/>
      <c r="P723" s="772"/>
      <c r="Q723" s="812"/>
      <c r="R723" s="953"/>
    </row>
    <row r="724" spans="1:18" s="440" customFormat="1" ht="36" customHeight="1">
      <c r="A724" s="984"/>
      <c r="B724" s="972"/>
      <c r="C724" s="450"/>
      <c r="D724" s="438"/>
      <c r="E724" s="954" t="s">
        <v>437</v>
      </c>
      <c r="F724" s="985"/>
      <c r="G724" s="973"/>
      <c r="H724" s="973"/>
      <c r="I724" s="973"/>
      <c r="J724" s="973"/>
      <c r="K724" s="383"/>
      <c r="L724" s="955"/>
      <c r="M724" s="955"/>
      <c r="N724" s="983">
        <v>0</v>
      </c>
      <c r="O724" s="981"/>
      <c r="P724" s="772"/>
      <c r="Q724" s="812"/>
      <c r="R724" s="953"/>
    </row>
    <row r="725" spans="1:18" s="440" customFormat="1" ht="36" customHeight="1">
      <c r="A725" s="984"/>
      <c r="B725" s="972"/>
      <c r="C725" s="450"/>
      <c r="D725" s="438"/>
      <c r="E725" s="954" t="s">
        <v>438</v>
      </c>
      <c r="F725" s="985"/>
      <c r="G725" s="973"/>
      <c r="H725" s="973"/>
      <c r="I725" s="973"/>
      <c r="J725" s="973"/>
      <c r="K725" s="383"/>
      <c r="L725" s="955"/>
      <c r="M725" s="955"/>
      <c r="N725" s="983">
        <v>0</v>
      </c>
      <c r="O725" s="981"/>
      <c r="P725" s="772"/>
      <c r="Q725" s="812"/>
      <c r="R725" s="953"/>
    </row>
    <row r="726" spans="1:18" s="440" customFormat="1" ht="36" customHeight="1">
      <c r="A726" s="984"/>
      <c r="B726" s="972"/>
      <c r="C726" s="450"/>
      <c r="D726" s="438"/>
      <c r="E726" s="954" t="s">
        <v>516</v>
      </c>
      <c r="F726" s="985"/>
      <c r="G726" s="973"/>
      <c r="H726" s="973"/>
      <c r="I726" s="973"/>
      <c r="J726" s="973"/>
      <c r="K726" s="383"/>
      <c r="L726" s="955"/>
      <c r="M726" s="955"/>
      <c r="N726" s="983">
        <v>0</v>
      </c>
      <c r="O726" s="981"/>
      <c r="P726" s="772"/>
      <c r="Q726" s="812"/>
      <c r="R726" s="953"/>
    </row>
    <row r="727" spans="1:18" s="440" customFormat="1" ht="36" customHeight="1">
      <c r="A727" s="984"/>
      <c r="B727" s="972"/>
      <c r="C727" s="450"/>
      <c r="D727" s="438"/>
      <c r="E727" s="954" t="s">
        <v>439</v>
      </c>
      <c r="F727" s="985"/>
      <c r="G727" s="973"/>
      <c r="H727" s="973"/>
      <c r="I727" s="973"/>
      <c r="J727" s="973"/>
      <c r="K727" s="383"/>
      <c r="L727" s="955"/>
      <c r="M727" s="955"/>
      <c r="N727" s="983">
        <v>0</v>
      </c>
      <c r="O727" s="981"/>
      <c r="P727" s="772"/>
      <c r="Q727" s="812"/>
      <c r="R727" s="953"/>
    </row>
    <row r="728" spans="1:18" s="440" customFormat="1" ht="36" customHeight="1">
      <c r="A728" s="984"/>
      <c r="B728" s="972"/>
      <c r="C728" s="450"/>
      <c r="D728" s="438"/>
      <c r="E728" s="954" t="s">
        <v>440</v>
      </c>
      <c r="F728" s="985"/>
      <c r="G728" s="973"/>
      <c r="H728" s="973"/>
      <c r="I728" s="973"/>
      <c r="J728" s="973"/>
      <c r="K728" s="383"/>
      <c r="L728" s="955"/>
      <c r="M728" s="955"/>
      <c r="N728" s="983">
        <v>0</v>
      </c>
      <c r="O728" s="981"/>
      <c r="P728" s="772"/>
      <c r="Q728" s="812"/>
      <c r="R728" s="953"/>
    </row>
    <row r="729" spans="1:18" s="440" customFormat="1" ht="36" customHeight="1">
      <c r="A729" s="984"/>
      <c r="B729" s="972"/>
      <c r="C729" s="450"/>
      <c r="D729" s="438"/>
      <c r="E729" s="954" t="s">
        <v>441</v>
      </c>
      <c r="F729" s="985"/>
      <c r="G729" s="973"/>
      <c r="H729" s="973"/>
      <c r="I729" s="973"/>
      <c r="J729" s="973"/>
      <c r="K729" s="383"/>
      <c r="L729" s="955"/>
      <c r="M729" s="955"/>
      <c r="N729" s="983">
        <v>0</v>
      </c>
      <c r="O729" s="981"/>
      <c r="P729" s="772"/>
      <c r="Q729" s="812"/>
      <c r="R729" s="953"/>
    </row>
    <row r="730" spans="1:18" s="440" customFormat="1" ht="57" customHeight="1">
      <c r="A730" s="984"/>
      <c r="B730" s="972"/>
      <c r="C730" s="450"/>
      <c r="D730" s="438"/>
      <c r="E730" s="954" t="s">
        <v>586</v>
      </c>
      <c r="F730" s="985"/>
      <c r="G730" s="973"/>
      <c r="H730" s="973"/>
      <c r="I730" s="973"/>
      <c r="J730" s="973"/>
      <c r="K730" s="383"/>
      <c r="L730" s="955"/>
      <c r="M730" s="955"/>
      <c r="N730" s="983">
        <v>101197.62</v>
      </c>
      <c r="O730" s="981"/>
      <c r="P730" s="772"/>
      <c r="Q730" s="812"/>
      <c r="R730" s="953"/>
    </row>
    <row r="731" spans="1:18" s="440" customFormat="1" ht="48" customHeight="1">
      <c r="A731" s="984"/>
      <c r="B731" s="972"/>
      <c r="C731" s="450"/>
      <c r="D731" s="438"/>
      <c r="E731" s="954" t="s">
        <v>587</v>
      </c>
      <c r="F731" s="985"/>
      <c r="G731" s="973"/>
      <c r="H731" s="973"/>
      <c r="I731" s="973"/>
      <c r="J731" s="973"/>
      <c r="K731" s="383"/>
      <c r="L731" s="955"/>
      <c r="M731" s="955"/>
      <c r="N731" s="983">
        <v>1200</v>
      </c>
      <c r="O731" s="981"/>
      <c r="P731" s="772"/>
      <c r="Q731" s="812"/>
      <c r="R731" s="953"/>
    </row>
    <row r="732" spans="1:18" s="440" customFormat="1" ht="36" customHeight="1">
      <c r="A732" s="984"/>
      <c r="B732" s="972"/>
      <c r="C732" s="450"/>
      <c r="D732" s="438"/>
      <c r="E732" s="954" t="s">
        <v>443</v>
      </c>
      <c r="F732" s="985"/>
      <c r="G732" s="973"/>
      <c r="H732" s="973"/>
      <c r="I732" s="973"/>
      <c r="J732" s="973"/>
      <c r="K732" s="383"/>
      <c r="L732" s="955"/>
      <c r="M732" s="955"/>
      <c r="N732" s="983">
        <v>103800.21</v>
      </c>
      <c r="O732" s="981"/>
      <c r="P732" s="772"/>
      <c r="Q732" s="812"/>
      <c r="R732" s="953"/>
    </row>
    <row r="733" spans="1:18" s="440" customFormat="1" ht="42.6" customHeight="1">
      <c r="A733" s="984"/>
      <c r="B733" s="972"/>
      <c r="C733" s="450"/>
      <c r="D733" s="438"/>
      <c r="E733" s="954" t="s">
        <v>469</v>
      </c>
      <c r="F733" s="985"/>
      <c r="G733" s="973"/>
      <c r="H733" s="973"/>
      <c r="I733" s="973"/>
      <c r="J733" s="973"/>
      <c r="K733" s="383"/>
      <c r="L733" s="955"/>
      <c r="M733" s="955"/>
      <c r="N733" s="983">
        <v>520</v>
      </c>
      <c r="O733" s="981"/>
      <c r="P733" s="772"/>
      <c r="Q733" s="812"/>
      <c r="R733" s="953"/>
    </row>
    <row r="734" spans="1:18" s="440" customFormat="1" ht="70.8" customHeight="1">
      <c r="A734" s="984"/>
      <c r="B734" s="972"/>
      <c r="C734" s="450"/>
      <c r="D734" s="438"/>
      <c r="E734" s="954" t="s">
        <v>588</v>
      </c>
      <c r="F734" s="985"/>
      <c r="G734" s="973"/>
      <c r="H734" s="973"/>
      <c r="I734" s="973"/>
      <c r="J734" s="973"/>
      <c r="K734" s="383"/>
      <c r="L734" s="955"/>
      <c r="M734" s="955"/>
      <c r="N734" s="983">
        <v>18000</v>
      </c>
      <c r="O734" s="981"/>
      <c r="P734" s="772"/>
      <c r="Q734" s="812"/>
      <c r="R734" s="953"/>
    </row>
    <row r="735" spans="1:18" s="440" customFormat="1" ht="49.8" customHeight="1">
      <c r="A735" s="984"/>
      <c r="B735" s="972"/>
      <c r="C735" s="450"/>
      <c r="D735" s="438"/>
      <c r="E735" s="954" t="s">
        <v>446</v>
      </c>
      <c r="F735" s="985"/>
      <c r="G735" s="973"/>
      <c r="H735" s="973"/>
      <c r="I735" s="973"/>
      <c r="J735" s="973"/>
      <c r="K735" s="383"/>
      <c r="L735" s="955"/>
      <c r="M735" s="955"/>
      <c r="N735" s="983">
        <v>132298.13</v>
      </c>
      <c r="O735" s="981"/>
      <c r="P735" s="772"/>
      <c r="Q735" s="812"/>
      <c r="R735" s="953"/>
    </row>
    <row r="736" spans="1:18" s="440" customFormat="1" ht="37.5" customHeight="1">
      <c r="A736" s="984"/>
      <c r="B736" s="972"/>
      <c r="C736" s="986"/>
      <c r="D736" s="438"/>
      <c r="E736" s="945" t="s">
        <v>418</v>
      </c>
      <c r="F736" s="949">
        <v>117300</v>
      </c>
      <c r="G736" s="949">
        <v>111778</v>
      </c>
      <c r="H736" s="949">
        <v>74715.13</v>
      </c>
      <c r="I736" s="973"/>
      <c r="J736" s="973"/>
      <c r="K736" s="529"/>
      <c r="L736" s="949">
        <v>238000</v>
      </c>
      <c r="M736" s="949">
        <v>238000</v>
      </c>
      <c r="N736" s="977">
        <f>SUM(N737:N757)</f>
        <v>179648.19</v>
      </c>
      <c r="O736" s="978">
        <f>N736/M736</f>
        <v>0.75482432773109243</v>
      </c>
      <c r="P736" s="772" t="s">
        <v>395</v>
      </c>
      <c r="Q736" s="812"/>
      <c r="R736" s="953"/>
    </row>
    <row r="737" spans="1:18" s="440" customFormat="1" ht="60" customHeight="1">
      <c r="A737" s="984"/>
      <c r="B737" s="972"/>
      <c r="C737" s="986"/>
      <c r="D737" s="438"/>
      <c r="E737" s="957" t="s">
        <v>447</v>
      </c>
      <c r="F737" s="958"/>
      <c r="G737" s="958"/>
      <c r="H737" s="958">
        <v>0</v>
      </c>
      <c r="I737" s="973"/>
      <c r="J737" s="973"/>
      <c r="K737" s="529"/>
      <c r="L737" s="958"/>
      <c r="M737" s="958"/>
      <c r="N737" s="983">
        <v>717.23</v>
      </c>
      <c r="O737" s="981"/>
      <c r="P737" s="772"/>
      <c r="Q737" s="812"/>
      <c r="R737" s="953"/>
    </row>
    <row r="738" spans="1:18" s="440" customFormat="1" ht="36" customHeight="1">
      <c r="A738" s="984"/>
      <c r="B738" s="972"/>
      <c r="C738" s="450"/>
      <c r="D738" s="438"/>
      <c r="E738" s="957" t="s">
        <v>448</v>
      </c>
      <c r="F738" s="958"/>
      <c r="G738" s="958"/>
      <c r="H738" s="958">
        <v>0</v>
      </c>
      <c r="I738" s="973"/>
      <c r="J738" s="973"/>
      <c r="K738" s="529"/>
      <c r="L738" s="958"/>
      <c r="M738" s="958"/>
      <c r="N738" s="983">
        <v>0</v>
      </c>
      <c r="O738" s="981"/>
      <c r="P738" s="772"/>
      <c r="Q738" s="812"/>
      <c r="R738" s="953"/>
    </row>
    <row r="739" spans="1:18" s="440" customFormat="1" ht="36" customHeight="1">
      <c r="A739" s="984"/>
      <c r="B739" s="972"/>
      <c r="C739" s="450"/>
      <c r="D739" s="438"/>
      <c r="E739" s="957" t="s">
        <v>449</v>
      </c>
      <c r="F739" s="958"/>
      <c r="G739" s="958"/>
      <c r="H739" s="958">
        <v>0</v>
      </c>
      <c r="I739" s="973"/>
      <c r="J739" s="973"/>
      <c r="K739" s="529"/>
      <c r="L739" s="958"/>
      <c r="M739" s="958"/>
      <c r="N739" s="983">
        <v>0</v>
      </c>
      <c r="O739" s="981"/>
      <c r="P739" s="772"/>
      <c r="Q739" s="812"/>
      <c r="R739" s="953"/>
    </row>
    <row r="740" spans="1:18" s="440" customFormat="1" ht="36" customHeight="1">
      <c r="A740" s="984"/>
      <c r="B740" s="972"/>
      <c r="C740" s="450"/>
      <c r="D740" s="438"/>
      <c r="E740" s="957" t="s">
        <v>450</v>
      </c>
      <c r="F740" s="958"/>
      <c r="G740" s="958"/>
      <c r="H740" s="958">
        <v>0</v>
      </c>
      <c r="I740" s="973"/>
      <c r="J740" s="973"/>
      <c r="K740" s="529"/>
      <c r="L740" s="958"/>
      <c r="M740" s="958"/>
      <c r="N740" s="983">
        <v>0</v>
      </c>
      <c r="O740" s="981"/>
      <c r="P740" s="772"/>
      <c r="Q740" s="812"/>
      <c r="R740" s="953"/>
    </row>
    <row r="741" spans="1:18" s="440" customFormat="1" ht="36" customHeight="1">
      <c r="A741" s="984"/>
      <c r="B741" s="972"/>
      <c r="C741" s="450"/>
      <c r="D741" s="438"/>
      <c r="E741" s="957" t="s">
        <v>451</v>
      </c>
      <c r="F741" s="958"/>
      <c r="G741" s="958"/>
      <c r="H741" s="958">
        <v>0</v>
      </c>
      <c r="I741" s="973"/>
      <c r="J741" s="973"/>
      <c r="K741" s="529"/>
      <c r="L741" s="958"/>
      <c r="M741" s="958"/>
      <c r="N741" s="983">
        <v>0</v>
      </c>
      <c r="O741" s="981"/>
      <c r="P741" s="772"/>
      <c r="Q741" s="812"/>
      <c r="R741" s="953"/>
    </row>
    <row r="742" spans="1:18" s="440" customFormat="1" ht="36" customHeight="1">
      <c r="A742" s="984"/>
      <c r="B742" s="972"/>
      <c r="C742" s="450"/>
      <c r="D742" s="438"/>
      <c r="E742" s="960" t="s">
        <v>583</v>
      </c>
      <c r="F742" s="958"/>
      <c r="G742" s="958"/>
      <c r="H742" s="958">
        <v>4300</v>
      </c>
      <c r="I742" s="973"/>
      <c r="J742" s="973"/>
      <c r="K742" s="529"/>
      <c r="L742" s="958"/>
      <c r="M742" s="958"/>
      <c r="N742" s="983">
        <v>1478.78</v>
      </c>
      <c r="O742" s="981"/>
      <c r="P742" s="772"/>
      <c r="Q742" s="812"/>
      <c r="R742" s="953"/>
    </row>
    <row r="743" spans="1:18" s="440" customFormat="1" ht="84" customHeight="1">
      <c r="A743" s="984"/>
      <c r="B743" s="972"/>
      <c r="C743" s="450"/>
      <c r="D743" s="438"/>
      <c r="E743" s="957" t="s">
        <v>452</v>
      </c>
      <c r="F743" s="958"/>
      <c r="G743" s="958"/>
      <c r="H743" s="958">
        <v>0</v>
      </c>
      <c r="I743" s="973"/>
      <c r="J743" s="973"/>
      <c r="K743" s="529"/>
      <c r="L743" s="958"/>
      <c r="M743" s="958"/>
      <c r="N743" s="983">
        <v>216.69</v>
      </c>
      <c r="O743" s="981"/>
      <c r="P743" s="772"/>
      <c r="Q743" s="812"/>
      <c r="R743" s="953"/>
    </row>
    <row r="744" spans="1:18" s="440" customFormat="1" ht="61.5" customHeight="1">
      <c r="A744" s="984"/>
      <c r="B744" s="972"/>
      <c r="C744" s="450"/>
      <c r="D744" s="438"/>
      <c r="E744" s="957" t="s">
        <v>453</v>
      </c>
      <c r="F744" s="958"/>
      <c r="G744" s="958"/>
      <c r="H744" s="958">
        <v>0</v>
      </c>
      <c r="I744" s="973"/>
      <c r="J744" s="973"/>
      <c r="K744" s="529"/>
      <c r="L744" s="958"/>
      <c r="M744" s="958"/>
      <c r="N744" s="983">
        <v>0</v>
      </c>
      <c r="O744" s="981"/>
      <c r="P744" s="772"/>
      <c r="Q744" s="812"/>
      <c r="R744" s="953"/>
    </row>
    <row r="745" spans="1:18" s="440" customFormat="1" ht="36" customHeight="1">
      <c r="A745" s="984"/>
      <c r="B745" s="972"/>
      <c r="C745" s="450"/>
      <c r="D745" s="438"/>
      <c r="E745" s="957" t="s">
        <v>454</v>
      </c>
      <c r="F745" s="958"/>
      <c r="G745" s="958"/>
      <c r="H745" s="958">
        <v>0</v>
      </c>
      <c r="I745" s="973"/>
      <c r="J745" s="973"/>
      <c r="K745" s="529"/>
      <c r="L745" s="958"/>
      <c r="M745" s="958"/>
      <c r="N745" s="983">
        <v>6210.02</v>
      </c>
      <c r="O745" s="981"/>
      <c r="P745" s="772"/>
      <c r="Q745" s="812"/>
      <c r="R745" s="953"/>
    </row>
    <row r="746" spans="1:18" s="440" customFormat="1" ht="60.75" customHeight="1">
      <c r="A746" s="984"/>
      <c r="B746" s="972"/>
      <c r="C746" s="450"/>
      <c r="D746" s="438"/>
      <c r="E746" s="957" t="s">
        <v>455</v>
      </c>
      <c r="F746" s="958"/>
      <c r="G746" s="958"/>
      <c r="H746" s="958">
        <v>0</v>
      </c>
      <c r="I746" s="973"/>
      <c r="J746" s="973"/>
      <c r="K746" s="529"/>
      <c r="L746" s="958"/>
      <c r="M746" s="958"/>
      <c r="N746" s="983">
        <v>0</v>
      </c>
      <c r="O746" s="981"/>
      <c r="P746" s="772"/>
      <c r="Q746" s="812"/>
      <c r="R746" s="953"/>
    </row>
    <row r="747" spans="1:18" s="440" customFormat="1" ht="36" customHeight="1">
      <c r="A747" s="984"/>
      <c r="B747" s="972"/>
      <c r="C747" s="450"/>
      <c r="D747" s="438"/>
      <c r="E747" s="957" t="s">
        <v>456</v>
      </c>
      <c r="F747" s="958"/>
      <c r="G747" s="958"/>
      <c r="H747" s="958">
        <v>0</v>
      </c>
      <c r="I747" s="973"/>
      <c r="J747" s="973"/>
      <c r="K747" s="529"/>
      <c r="L747" s="958"/>
      <c r="M747" s="958"/>
      <c r="N747" s="983">
        <v>572.38</v>
      </c>
      <c r="O747" s="981"/>
      <c r="P747" s="772"/>
      <c r="Q747" s="812"/>
      <c r="R747" s="953"/>
    </row>
    <row r="748" spans="1:18" s="440" customFormat="1" ht="64.5" customHeight="1">
      <c r="A748" s="984"/>
      <c r="B748" s="972"/>
      <c r="C748" s="450"/>
      <c r="D748" s="438"/>
      <c r="E748" s="957" t="s">
        <v>457</v>
      </c>
      <c r="F748" s="958"/>
      <c r="G748" s="958"/>
      <c r="H748" s="958">
        <v>0</v>
      </c>
      <c r="I748" s="973"/>
      <c r="J748" s="973"/>
      <c r="K748" s="529"/>
      <c r="L748" s="958"/>
      <c r="M748" s="958"/>
      <c r="N748" s="983">
        <v>0</v>
      </c>
      <c r="O748" s="981"/>
      <c r="P748" s="772"/>
      <c r="Q748" s="812"/>
      <c r="R748" s="953"/>
    </row>
    <row r="749" spans="1:18" s="440" customFormat="1" ht="36" customHeight="1">
      <c r="A749" s="984"/>
      <c r="B749" s="972"/>
      <c r="C749" s="450"/>
      <c r="D749" s="438"/>
      <c r="E749" s="957" t="s">
        <v>458</v>
      </c>
      <c r="F749" s="961"/>
      <c r="G749" s="961"/>
      <c r="H749" s="958">
        <v>32231.32</v>
      </c>
      <c r="I749" s="973"/>
      <c r="J749" s="973"/>
      <c r="K749" s="529"/>
      <c r="L749" s="961"/>
      <c r="M749" s="961"/>
      <c r="N749" s="983">
        <v>103729.35</v>
      </c>
      <c r="O749" s="981"/>
      <c r="P749" s="772"/>
      <c r="Q749" s="812"/>
      <c r="R749" s="953"/>
    </row>
    <row r="750" spans="1:18" s="440" customFormat="1" ht="36" customHeight="1">
      <c r="A750" s="984"/>
      <c r="B750" s="972"/>
      <c r="C750" s="450"/>
      <c r="D750" s="438"/>
      <c r="E750" s="957" t="s">
        <v>459</v>
      </c>
      <c r="F750" s="961"/>
      <c r="G750" s="961"/>
      <c r="H750" s="958">
        <v>0</v>
      </c>
      <c r="I750" s="973"/>
      <c r="J750" s="973"/>
      <c r="K750" s="529"/>
      <c r="L750" s="961"/>
      <c r="M750" s="961"/>
      <c r="N750" s="983">
        <v>9252.99</v>
      </c>
      <c r="O750" s="981"/>
      <c r="P750" s="772"/>
      <c r="Q750" s="812"/>
      <c r="R750" s="953"/>
    </row>
    <row r="751" spans="1:18" s="440" customFormat="1" ht="36" customHeight="1">
      <c r="A751" s="984"/>
      <c r="B751" s="972"/>
      <c r="C751" s="450"/>
      <c r="D751" s="438"/>
      <c r="E751" s="957" t="s">
        <v>460</v>
      </c>
      <c r="F751" s="961"/>
      <c r="G751" s="961"/>
      <c r="H751" s="958">
        <v>692</v>
      </c>
      <c r="I751" s="973"/>
      <c r="J751" s="973"/>
      <c r="K751" s="529"/>
      <c r="L751" s="961"/>
      <c r="M751" s="961"/>
      <c r="N751" s="983">
        <v>90</v>
      </c>
      <c r="O751" s="981"/>
      <c r="P751" s="772"/>
      <c r="Q751" s="812"/>
      <c r="R751" s="953"/>
    </row>
    <row r="752" spans="1:18" s="440" customFormat="1" ht="36" customHeight="1">
      <c r="A752" s="984"/>
      <c r="B752" s="972"/>
      <c r="C752" s="450"/>
      <c r="D752" s="438"/>
      <c r="E752" s="957" t="s">
        <v>461</v>
      </c>
      <c r="F752" s="961"/>
      <c r="G752" s="961"/>
      <c r="H752" s="958">
        <v>35817</v>
      </c>
      <c r="I752" s="973"/>
      <c r="J752" s="973"/>
      <c r="K752" s="529"/>
      <c r="L752" s="961"/>
      <c r="M752" s="961"/>
      <c r="N752" s="983">
        <v>50551</v>
      </c>
      <c r="O752" s="981"/>
      <c r="P752" s="772"/>
      <c r="Q752" s="812"/>
      <c r="R752" s="953"/>
    </row>
    <row r="753" spans="1:18" s="440" customFormat="1" ht="36" customHeight="1">
      <c r="A753" s="984"/>
      <c r="B753" s="972"/>
      <c r="C753" s="450"/>
      <c r="D753" s="438"/>
      <c r="E753" s="957" t="s">
        <v>462</v>
      </c>
      <c r="F753" s="961"/>
      <c r="G753" s="961"/>
      <c r="H753" s="958">
        <v>0</v>
      </c>
      <c r="I753" s="973"/>
      <c r="J753" s="973"/>
      <c r="K753" s="529"/>
      <c r="L753" s="961"/>
      <c r="M753" s="961"/>
      <c r="N753" s="983">
        <v>0</v>
      </c>
      <c r="O753" s="981"/>
      <c r="P753" s="772"/>
      <c r="Q753" s="812"/>
      <c r="R753" s="953"/>
    </row>
    <row r="754" spans="1:18" s="440" customFormat="1" ht="62.25" customHeight="1">
      <c r="A754" s="984"/>
      <c r="B754" s="972"/>
      <c r="C754" s="450"/>
      <c r="D754" s="438"/>
      <c r="E754" s="957" t="s">
        <v>463</v>
      </c>
      <c r="F754" s="961"/>
      <c r="G754" s="961"/>
      <c r="H754" s="958">
        <v>0</v>
      </c>
      <c r="I754" s="973"/>
      <c r="J754" s="973"/>
      <c r="K754" s="529"/>
      <c r="L754" s="961"/>
      <c r="M754" s="961"/>
      <c r="N754" s="983">
        <v>1225.81</v>
      </c>
      <c r="O754" s="981"/>
      <c r="P754" s="772"/>
      <c r="Q754" s="812"/>
      <c r="R754" s="953"/>
    </row>
    <row r="755" spans="1:18" s="440" customFormat="1" ht="36" customHeight="1">
      <c r="A755" s="984"/>
      <c r="B755" s="972"/>
      <c r="C755" s="450"/>
      <c r="D755" s="438"/>
      <c r="E755" s="957" t="s">
        <v>464</v>
      </c>
      <c r="F755" s="961"/>
      <c r="G755" s="961"/>
      <c r="H755" s="958">
        <v>0</v>
      </c>
      <c r="I755" s="973"/>
      <c r="J755" s="973"/>
      <c r="K755" s="529"/>
      <c r="L755" s="961"/>
      <c r="M755" s="961"/>
      <c r="N755" s="983">
        <v>0</v>
      </c>
      <c r="O755" s="981"/>
      <c r="P755" s="772"/>
      <c r="Q755" s="812"/>
      <c r="R755" s="953"/>
    </row>
    <row r="756" spans="1:18" s="440" customFormat="1" ht="36" customHeight="1">
      <c r="A756" s="984"/>
      <c r="B756" s="972"/>
      <c r="C756" s="450"/>
      <c r="D756" s="438"/>
      <c r="E756" s="957" t="s">
        <v>465</v>
      </c>
      <c r="F756" s="961"/>
      <c r="G756" s="961"/>
      <c r="H756" s="958">
        <v>0</v>
      </c>
      <c r="I756" s="973"/>
      <c r="J756" s="973"/>
      <c r="K756" s="529"/>
      <c r="L756" s="961"/>
      <c r="M756" s="961"/>
      <c r="N756" s="983">
        <v>250</v>
      </c>
      <c r="O756" s="981"/>
      <c r="P756" s="772"/>
      <c r="Q756" s="812"/>
      <c r="R756" s="953"/>
    </row>
    <row r="757" spans="1:18" s="440" customFormat="1" ht="36" customHeight="1">
      <c r="A757" s="984"/>
      <c r="B757" s="972"/>
      <c r="C757" s="450"/>
      <c r="D757" s="438"/>
      <c r="E757" s="957" t="s">
        <v>466</v>
      </c>
      <c r="F757" s="961"/>
      <c r="G757" s="961"/>
      <c r="H757" s="958">
        <v>1674.81</v>
      </c>
      <c r="I757" s="973"/>
      <c r="J757" s="973"/>
      <c r="K757" s="529"/>
      <c r="L757" s="961"/>
      <c r="M757" s="961"/>
      <c r="N757" s="983">
        <v>5353.94</v>
      </c>
      <c r="O757" s="981"/>
      <c r="P757" s="772"/>
      <c r="Q757" s="812"/>
      <c r="R757" s="953"/>
    </row>
    <row r="758" spans="1:18" s="440" customFormat="1" ht="57" customHeight="1">
      <c r="A758" s="984"/>
      <c r="B758" s="972"/>
      <c r="C758" s="1007"/>
      <c r="D758" s="1008"/>
      <c r="E758" s="1009" t="s">
        <v>467</v>
      </c>
      <c r="F758" s="1010">
        <v>117300</v>
      </c>
      <c r="G758" s="1010">
        <v>111778</v>
      </c>
      <c r="H758" s="1010">
        <v>74715.13</v>
      </c>
      <c r="I758" s="1011"/>
      <c r="J758" s="1011"/>
      <c r="K758" s="1012"/>
      <c r="L758" s="1010">
        <v>0</v>
      </c>
      <c r="M758" s="1010">
        <v>0</v>
      </c>
      <c r="N758" s="1010">
        <v>0</v>
      </c>
      <c r="O758" s="1013">
        <v>0</v>
      </c>
      <c r="P758" s="772" t="s">
        <v>395</v>
      </c>
      <c r="Q758" s="812"/>
      <c r="R758" s="953"/>
    </row>
    <row r="759" spans="1:18" s="211" customFormat="1" ht="93.75" customHeight="1">
      <c r="A759" s="424"/>
      <c r="B759" s="214"/>
      <c r="C759" s="180">
        <v>3</v>
      </c>
      <c r="D759" s="282"/>
      <c r="E759" s="273" t="s">
        <v>57</v>
      </c>
      <c r="F759" s="521"/>
      <c r="G759" s="281"/>
      <c r="H759" s="281"/>
      <c r="I759" s="281"/>
      <c r="J759" s="277"/>
      <c r="K759" s="452">
        <v>115000</v>
      </c>
      <c r="L759" s="452">
        <f>SUM(F759:K759)</f>
        <v>115000</v>
      </c>
      <c r="M759" s="452">
        <v>170000</v>
      </c>
      <c r="N759" s="452">
        <v>79717.440000000002</v>
      </c>
      <c r="O759" s="873">
        <f>N759/M759</f>
        <v>0.46892611764705883</v>
      </c>
      <c r="P759" s="772" t="s">
        <v>395</v>
      </c>
      <c r="Q759" s="656"/>
    </row>
    <row r="760" spans="1:18" s="76" customFormat="1" ht="63.75" customHeight="1">
      <c r="A760" s="573"/>
      <c r="B760" s="75">
        <v>80113</v>
      </c>
      <c r="C760" s="74"/>
      <c r="D760" s="73"/>
      <c r="E760" s="72" t="s">
        <v>56</v>
      </c>
      <c r="F760" s="92">
        <f t="shared" ref="F760:N760" si="85">F761+F762+F763</f>
        <v>0</v>
      </c>
      <c r="G760" s="92">
        <f t="shared" si="85"/>
        <v>0</v>
      </c>
      <c r="H760" s="92">
        <f t="shared" si="85"/>
        <v>0</v>
      </c>
      <c r="I760" s="92">
        <f t="shared" si="85"/>
        <v>0</v>
      </c>
      <c r="J760" s="92">
        <f t="shared" si="85"/>
        <v>0</v>
      </c>
      <c r="K760" s="92">
        <f t="shared" si="85"/>
        <v>644000</v>
      </c>
      <c r="L760" s="92">
        <f t="shared" si="85"/>
        <v>644000</v>
      </c>
      <c r="M760" s="92">
        <f t="shared" si="85"/>
        <v>644000</v>
      </c>
      <c r="N760" s="92">
        <f t="shared" si="85"/>
        <v>328537.83999999997</v>
      </c>
      <c r="O760" s="755">
        <f>N760/M760</f>
        <v>0.51015192546583843</v>
      </c>
      <c r="P760" s="764" t="s">
        <v>395</v>
      </c>
      <c r="Q760" s="650"/>
    </row>
    <row r="761" spans="1:18" s="94" customFormat="1" ht="46.5" customHeight="1">
      <c r="A761" s="639"/>
      <c r="B761" s="173"/>
      <c r="C761" s="198">
        <v>1</v>
      </c>
      <c r="D761" s="115"/>
      <c r="E761" s="178" t="s">
        <v>220</v>
      </c>
      <c r="F761" s="254"/>
      <c r="G761" s="455"/>
      <c r="H761" s="451"/>
      <c r="I761" s="451"/>
      <c r="J761" s="451"/>
      <c r="K761" s="452">
        <v>276000</v>
      </c>
      <c r="L761" s="452">
        <f>K761</f>
        <v>276000</v>
      </c>
      <c r="M761" s="452">
        <v>276000</v>
      </c>
      <c r="N761" s="452">
        <v>141561</v>
      </c>
      <c r="O761" s="873">
        <f t="shared" ref="O761:O772" si="86">N761/M761</f>
        <v>0.51290217391304349</v>
      </c>
      <c r="P761" s="766" t="s">
        <v>395</v>
      </c>
      <c r="Q761" s="649"/>
    </row>
    <row r="762" spans="1:18" s="94" customFormat="1" ht="46.5" customHeight="1">
      <c r="A762" s="639"/>
      <c r="B762" s="173"/>
      <c r="C762" s="198">
        <v>2</v>
      </c>
      <c r="D762" s="115"/>
      <c r="E762" s="178" t="s">
        <v>283</v>
      </c>
      <c r="F762" s="254"/>
      <c r="G762" s="455"/>
      <c r="H762" s="451"/>
      <c r="I762" s="451"/>
      <c r="J762" s="451"/>
      <c r="K762" s="452">
        <v>111000</v>
      </c>
      <c r="L762" s="452">
        <f>K762</f>
        <v>111000</v>
      </c>
      <c r="M762" s="452">
        <v>111000</v>
      </c>
      <c r="N762" s="452">
        <v>60802</v>
      </c>
      <c r="O762" s="873">
        <f t="shared" si="86"/>
        <v>0.54776576576576574</v>
      </c>
      <c r="P762" s="766" t="s">
        <v>395</v>
      </c>
      <c r="Q762" s="649"/>
    </row>
    <row r="763" spans="1:18" s="410" customFormat="1" ht="246" customHeight="1">
      <c r="A763" s="639"/>
      <c r="B763" s="420"/>
      <c r="C763" s="198">
        <v>3</v>
      </c>
      <c r="D763" s="115"/>
      <c r="E763" s="605" t="s">
        <v>612</v>
      </c>
      <c r="F763" s="254"/>
      <c r="G763" s="455"/>
      <c r="H763" s="451"/>
      <c r="I763" s="451"/>
      <c r="J763" s="451"/>
      <c r="K763" s="452">
        <v>257000</v>
      </c>
      <c r="L763" s="382">
        <f t="shared" ref="L763:L772" si="87">SUM(F763:K763)</f>
        <v>257000</v>
      </c>
      <c r="M763" s="382">
        <v>257000</v>
      </c>
      <c r="N763" s="382">
        <v>126174.84</v>
      </c>
      <c r="O763" s="877">
        <f t="shared" si="86"/>
        <v>0.49095268482490273</v>
      </c>
      <c r="P763" s="766" t="s">
        <v>395</v>
      </c>
      <c r="Q763" s="649"/>
    </row>
    <row r="764" spans="1:18" s="274" customFormat="1" ht="65.25" customHeight="1">
      <c r="A764" s="429"/>
      <c r="B764" s="75">
        <v>80146</v>
      </c>
      <c r="C764" s="74"/>
      <c r="D764" s="176"/>
      <c r="E764" s="385" t="s">
        <v>54</v>
      </c>
      <c r="F764" s="409">
        <f>F765</f>
        <v>0</v>
      </c>
      <c r="G764" s="92">
        <f>G765</f>
        <v>0</v>
      </c>
      <c r="H764" s="92">
        <f>H765</f>
        <v>0</v>
      </c>
      <c r="I764" s="92">
        <f>I765</f>
        <v>0</v>
      </c>
      <c r="J764" s="92">
        <f>J765</f>
        <v>0</v>
      </c>
      <c r="K764" s="92">
        <f>K765+K768</f>
        <v>133691</v>
      </c>
      <c r="L764" s="92">
        <f t="shared" si="87"/>
        <v>133691</v>
      </c>
      <c r="M764" s="92">
        <f>M765+M768</f>
        <v>133691</v>
      </c>
      <c r="N764" s="92">
        <f>N765+N768</f>
        <v>47507.560000000005</v>
      </c>
      <c r="O764" s="755">
        <f t="shared" si="86"/>
        <v>0.35535346433192966</v>
      </c>
      <c r="P764" s="786" t="s">
        <v>395</v>
      </c>
      <c r="Q764" s="669"/>
    </row>
    <row r="765" spans="1:18" s="165" customFormat="1" ht="45" customHeight="1">
      <c r="A765" s="400"/>
      <c r="B765" s="173"/>
      <c r="C765" s="60" t="s">
        <v>21</v>
      </c>
      <c r="D765" s="164"/>
      <c r="E765" s="185" t="s">
        <v>20</v>
      </c>
      <c r="F765" s="280"/>
      <c r="G765" s="184"/>
      <c r="H765" s="184"/>
      <c r="I765" s="184"/>
      <c r="J765" s="184"/>
      <c r="K765" s="184">
        <f>SUM(K766:K767)</f>
        <v>107057</v>
      </c>
      <c r="L765" s="184">
        <f t="shared" si="87"/>
        <v>107057</v>
      </c>
      <c r="M765" s="184">
        <f>M766+M767</f>
        <v>107057</v>
      </c>
      <c r="N765" s="184">
        <f>N766+N767</f>
        <v>39570.26</v>
      </c>
      <c r="O765" s="849">
        <f t="shared" si="86"/>
        <v>0.36961861438299226</v>
      </c>
      <c r="P765" s="780" t="s">
        <v>395</v>
      </c>
      <c r="Q765" s="664"/>
    </row>
    <row r="766" spans="1:18" s="274" customFormat="1" ht="45" customHeight="1">
      <c r="A766" s="429"/>
      <c r="B766" s="173"/>
      <c r="C766" s="253">
        <v>1</v>
      </c>
      <c r="D766" s="252"/>
      <c r="E766" s="616" t="s">
        <v>221</v>
      </c>
      <c r="F766" s="523"/>
      <c r="G766" s="279"/>
      <c r="H766" s="279"/>
      <c r="I766" s="279"/>
      <c r="J766" s="251"/>
      <c r="K766" s="84">
        <v>55237</v>
      </c>
      <c r="L766" s="84">
        <f t="shared" si="87"/>
        <v>55237</v>
      </c>
      <c r="M766" s="84">
        <v>55237</v>
      </c>
      <c r="N766" s="84">
        <v>19489.52</v>
      </c>
      <c r="O766" s="838">
        <f t="shared" si="86"/>
        <v>0.35283451309810454</v>
      </c>
      <c r="P766" s="786" t="s">
        <v>395</v>
      </c>
      <c r="Q766" s="669"/>
    </row>
    <row r="767" spans="1:18" s="165" customFormat="1" ht="45" customHeight="1">
      <c r="A767" s="429"/>
      <c r="B767" s="173"/>
      <c r="C767" s="180">
        <v>2</v>
      </c>
      <c r="D767" s="179"/>
      <c r="E767" s="278" t="s">
        <v>284</v>
      </c>
      <c r="F767" s="518"/>
      <c r="G767" s="277"/>
      <c r="H767" s="277"/>
      <c r="I767" s="277"/>
      <c r="J767" s="455"/>
      <c r="K767" s="451">
        <v>51820</v>
      </c>
      <c r="L767" s="451">
        <f t="shared" si="87"/>
        <v>51820</v>
      </c>
      <c r="M767" s="451">
        <v>51820</v>
      </c>
      <c r="N767" s="451">
        <v>20080.740000000002</v>
      </c>
      <c r="O767" s="837">
        <f t="shared" si="86"/>
        <v>0.38750945580856816</v>
      </c>
      <c r="P767" s="780" t="s">
        <v>395</v>
      </c>
      <c r="Q767" s="664"/>
    </row>
    <row r="768" spans="1:18" s="250" customFormat="1" ht="45" customHeight="1">
      <c r="A768" s="487"/>
      <c r="B768" s="173"/>
      <c r="C768" s="98" t="s">
        <v>52</v>
      </c>
      <c r="D768" s="189"/>
      <c r="E768" s="188" t="s">
        <v>51</v>
      </c>
      <c r="F768" s="187"/>
      <c r="G768" s="432"/>
      <c r="H768" s="432"/>
      <c r="I768" s="432"/>
      <c r="J768" s="432"/>
      <c r="K768" s="432">
        <f>SUM(K769:K772)</f>
        <v>26634</v>
      </c>
      <c r="L768" s="432">
        <f t="shared" si="87"/>
        <v>26634</v>
      </c>
      <c r="M768" s="432">
        <f>M769+M770+M771+M772</f>
        <v>26634</v>
      </c>
      <c r="N768" s="432">
        <f>N769+N770+N771+N772</f>
        <v>7937.3</v>
      </c>
      <c r="O768" s="819">
        <f t="shared" si="86"/>
        <v>0.29801381692573403</v>
      </c>
      <c r="P768" s="781" t="s">
        <v>395</v>
      </c>
      <c r="Q768" s="665"/>
    </row>
    <row r="769" spans="1:18" s="165" customFormat="1" ht="45" customHeight="1">
      <c r="A769" s="429"/>
      <c r="B769" s="173"/>
      <c r="C769" s="28">
        <v>1</v>
      </c>
      <c r="D769" s="215"/>
      <c r="E769" s="218" t="s">
        <v>50</v>
      </c>
      <c r="F769" s="217"/>
      <c r="G769" s="89"/>
      <c r="H769" s="89"/>
      <c r="I769" s="89"/>
      <c r="J769" s="184"/>
      <c r="K769" s="89">
        <v>5615</v>
      </c>
      <c r="L769" s="89">
        <v>5615</v>
      </c>
      <c r="M769" s="89">
        <v>5615</v>
      </c>
      <c r="N769" s="89">
        <v>1926.05</v>
      </c>
      <c r="O769" s="835">
        <f t="shared" si="86"/>
        <v>0.3430186999109528</v>
      </c>
      <c r="P769" s="780" t="s">
        <v>395</v>
      </c>
      <c r="Q769" s="664"/>
    </row>
    <row r="770" spans="1:18" s="183" customFormat="1" ht="45" customHeight="1">
      <c r="A770" s="429"/>
      <c r="B770" s="173"/>
      <c r="C770" s="222">
        <v>2</v>
      </c>
      <c r="D770" s="221"/>
      <c r="E770" s="225" t="s">
        <v>49</v>
      </c>
      <c r="F770" s="219"/>
      <c r="G770" s="84"/>
      <c r="H770" s="84"/>
      <c r="I770" s="84"/>
      <c r="J770" s="251"/>
      <c r="K770" s="84">
        <v>5963</v>
      </c>
      <c r="L770" s="84">
        <f t="shared" si="87"/>
        <v>5963</v>
      </c>
      <c r="M770" s="84">
        <v>5963</v>
      </c>
      <c r="N770" s="84">
        <v>750</v>
      </c>
      <c r="O770" s="838">
        <f t="shared" si="86"/>
        <v>0.12577561630051987</v>
      </c>
      <c r="P770" s="782" t="s">
        <v>395</v>
      </c>
      <c r="Q770" s="667"/>
    </row>
    <row r="771" spans="1:18" s="165" customFormat="1" ht="45" customHeight="1">
      <c r="A771" s="429"/>
      <c r="B771" s="173"/>
      <c r="C771" s="222">
        <v>3</v>
      </c>
      <c r="D771" s="221"/>
      <c r="E771" s="225" t="s">
        <v>48</v>
      </c>
      <c r="F771" s="219"/>
      <c r="G771" s="84"/>
      <c r="H771" s="84"/>
      <c r="I771" s="84"/>
      <c r="J771" s="251"/>
      <c r="K771" s="84">
        <v>5599</v>
      </c>
      <c r="L771" s="84">
        <f t="shared" si="87"/>
        <v>5599</v>
      </c>
      <c r="M771" s="84">
        <v>5599</v>
      </c>
      <c r="N771" s="84">
        <v>890</v>
      </c>
      <c r="O771" s="838">
        <f t="shared" si="86"/>
        <v>0.15895695659939274</v>
      </c>
      <c r="P771" s="780" t="s">
        <v>395</v>
      </c>
      <c r="Q771" s="664"/>
    </row>
    <row r="772" spans="1:18" s="165" customFormat="1" ht="45" customHeight="1">
      <c r="A772" s="429"/>
      <c r="B772" s="173"/>
      <c r="C772" s="28">
        <v>4</v>
      </c>
      <c r="D772" s="215"/>
      <c r="E772" s="218" t="s">
        <v>47</v>
      </c>
      <c r="F772" s="217"/>
      <c r="G772" s="89"/>
      <c r="H772" s="89"/>
      <c r="I772" s="89"/>
      <c r="J772" s="276"/>
      <c r="K772" s="275">
        <v>9457</v>
      </c>
      <c r="L772" s="275">
        <f t="shared" si="87"/>
        <v>9457</v>
      </c>
      <c r="M772" s="275">
        <v>9457</v>
      </c>
      <c r="N772" s="275">
        <v>4371.25</v>
      </c>
      <c r="O772" s="870">
        <f t="shared" si="86"/>
        <v>0.46222374960346835</v>
      </c>
      <c r="P772" s="780" t="s">
        <v>395</v>
      </c>
      <c r="Q772" s="664"/>
    </row>
    <row r="773" spans="1:18" s="274" customFormat="1" ht="63.75" customHeight="1">
      <c r="A773" s="429"/>
      <c r="B773" s="75">
        <v>80148</v>
      </c>
      <c r="C773" s="74"/>
      <c r="D773" s="176"/>
      <c r="E773" s="175" t="s">
        <v>53</v>
      </c>
      <c r="F773" s="409">
        <f>F774</f>
        <v>0</v>
      </c>
      <c r="G773" s="92">
        <f>G774</f>
        <v>0</v>
      </c>
      <c r="H773" s="92">
        <f>H774</f>
        <v>0</v>
      </c>
      <c r="I773" s="92">
        <f>I774</f>
        <v>0</v>
      </c>
      <c r="J773" s="92">
        <f>J774</f>
        <v>0</v>
      </c>
      <c r="K773" s="92">
        <f>K774+K861</f>
        <v>2750000</v>
      </c>
      <c r="L773" s="92">
        <f>L774+L861</f>
        <v>2750000</v>
      </c>
      <c r="M773" s="92">
        <f t="shared" ref="M773:N773" si="88">M774+M861</f>
        <v>2753000</v>
      </c>
      <c r="N773" s="92">
        <f t="shared" si="88"/>
        <v>1295335.3999999999</v>
      </c>
      <c r="O773" s="755">
        <f>N773/M773</f>
        <v>0.47051776244097343</v>
      </c>
      <c r="P773" s="786" t="s">
        <v>395</v>
      </c>
      <c r="Q773" s="669"/>
    </row>
    <row r="774" spans="1:18" s="193" customFormat="1" ht="39.9" customHeight="1">
      <c r="A774" s="487"/>
      <c r="B774" s="173"/>
      <c r="C774" s="190" t="s">
        <v>21</v>
      </c>
      <c r="D774" s="189"/>
      <c r="E774" s="188" t="s">
        <v>20</v>
      </c>
      <c r="F774" s="187"/>
      <c r="G774" s="187"/>
      <c r="H774" s="187"/>
      <c r="I774" s="187"/>
      <c r="J774" s="187"/>
      <c r="K774" s="432">
        <f>K775+K818</f>
        <v>1335000</v>
      </c>
      <c r="L774" s="432">
        <f>L775+L818</f>
        <v>1335000</v>
      </c>
      <c r="M774" s="432">
        <f t="shared" ref="M774:N774" si="89">M775+M818</f>
        <v>1335000</v>
      </c>
      <c r="N774" s="432">
        <f t="shared" si="89"/>
        <v>663947.85000000009</v>
      </c>
      <c r="O774" s="819">
        <f>N774/M774</f>
        <v>0.49733921348314614</v>
      </c>
      <c r="P774" s="781" t="s">
        <v>395</v>
      </c>
      <c r="Q774" s="665"/>
    </row>
    <row r="775" spans="1:18" s="441" customFormat="1" ht="39.9" customHeight="1">
      <c r="A775" s="716"/>
      <c r="B775" s="709"/>
      <c r="C775" s="693">
        <v>1</v>
      </c>
      <c r="D775" s="443"/>
      <c r="E775" s="544" t="s">
        <v>221</v>
      </c>
      <c r="F775" s="395"/>
      <c r="G775" s="421"/>
      <c r="H775" s="421"/>
      <c r="I775" s="421"/>
      <c r="J775" s="421"/>
      <c r="K775" s="421">
        <v>688000</v>
      </c>
      <c r="L775" s="421">
        <f>L776+L795+L817</f>
        <v>688000</v>
      </c>
      <c r="M775" s="421">
        <f t="shared" ref="M775:N775" si="90">M776+M795+M817</f>
        <v>688000</v>
      </c>
      <c r="N775" s="421">
        <f t="shared" si="90"/>
        <v>356138.04000000004</v>
      </c>
      <c r="O775" s="850">
        <f>N775/M775</f>
        <v>0.51764250000000001</v>
      </c>
      <c r="P775" s="787" t="s">
        <v>395</v>
      </c>
      <c r="Q775" s="670"/>
    </row>
    <row r="776" spans="1:18" s="431" customFormat="1" ht="50.25" customHeight="1">
      <c r="A776" s="987"/>
      <c r="B776" s="944"/>
      <c r="C776" s="458"/>
      <c r="D776" s="444"/>
      <c r="E776" s="945" t="s">
        <v>412</v>
      </c>
      <c r="F776" s="976"/>
      <c r="G776" s="946"/>
      <c r="H776" s="946"/>
      <c r="I776" s="946"/>
      <c r="J776" s="947"/>
      <c r="K776" s="948"/>
      <c r="L776" s="949">
        <v>273000</v>
      </c>
      <c r="M776" s="949">
        <v>273000</v>
      </c>
      <c r="N776" s="977">
        <f>SUM(N778:N794)</f>
        <v>156747.72</v>
      </c>
      <c r="O776" s="978">
        <f>N776/M776</f>
        <v>0.57416747252747258</v>
      </c>
      <c r="P776" s="780" t="s">
        <v>395</v>
      </c>
      <c r="Q776" s="908"/>
      <c r="R776" s="951"/>
    </row>
    <row r="777" spans="1:18" s="440" customFormat="1" ht="34.5" customHeight="1">
      <c r="A777" s="984"/>
      <c r="B777" s="972"/>
      <c r="C777" s="450"/>
      <c r="D777" s="438"/>
      <c r="E777" s="952" t="s">
        <v>13</v>
      </c>
      <c r="F777" s="985"/>
      <c r="G777" s="973"/>
      <c r="H777" s="973"/>
      <c r="I777" s="973"/>
      <c r="J777" s="973"/>
      <c r="K777" s="383"/>
      <c r="L777" s="980"/>
      <c r="M777" s="980"/>
      <c r="N777" s="980"/>
      <c r="O777" s="981"/>
      <c r="P777" s="772"/>
      <c r="Q777" s="812"/>
      <c r="R777" s="953"/>
    </row>
    <row r="778" spans="1:18" s="440" customFormat="1" ht="36" customHeight="1">
      <c r="A778" s="984"/>
      <c r="B778" s="972"/>
      <c r="C778" s="450"/>
      <c r="D778" s="425"/>
      <c r="E778" s="954" t="s">
        <v>477</v>
      </c>
      <c r="F778" s="985"/>
      <c r="G778" s="973"/>
      <c r="H778" s="973"/>
      <c r="I778" s="973"/>
      <c r="J778" s="973"/>
      <c r="K778" s="383"/>
      <c r="L778" s="955"/>
      <c r="M778" s="955"/>
      <c r="N778" s="983">
        <v>0</v>
      </c>
      <c r="O778" s="981"/>
      <c r="P778" s="772"/>
      <c r="Q778" s="812"/>
      <c r="R778" s="953"/>
    </row>
    <row r="779" spans="1:18" s="440" customFormat="1" ht="57" customHeight="1">
      <c r="A779" s="984"/>
      <c r="B779" s="972"/>
      <c r="C779" s="450"/>
      <c r="D779" s="438"/>
      <c r="E779" s="954" t="s">
        <v>478</v>
      </c>
      <c r="F779" s="985"/>
      <c r="G779" s="973"/>
      <c r="H779" s="973"/>
      <c r="I779" s="973"/>
      <c r="J779" s="973"/>
      <c r="K779" s="383"/>
      <c r="L779" s="955"/>
      <c r="M779" s="955"/>
      <c r="N779" s="983">
        <v>0</v>
      </c>
      <c r="O779" s="981"/>
      <c r="P779" s="772"/>
      <c r="Q779" s="812"/>
      <c r="R779" s="953"/>
    </row>
    <row r="780" spans="1:18" s="440" customFormat="1" ht="36" customHeight="1">
      <c r="A780" s="984"/>
      <c r="B780" s="972"/>
      <c r="C780" s="450"/>
      <c r="D780" s="438"/>
      <c r="E780" s="954" t="s">
        <v>479</v>
      </c>
      <c r="F780" s="985"/>
      <c r="G780" s="973"/>
      <c r="H780" s="973"/>
      <c r="I780" s="973"/>
      <c r="J780" s="973"/>
      <c r="K780" s="383"/>
      <c r="L780" s="955"/>
      <c r="M780" s="955"/>
      <c r="N780" s="983">
        <v>0</v>
      </c>
      <c r="O780" s="981"/>
      <c r="P780" s="772"/>
      <c r="Q780" s="812"/>
      <c r="R780" s="953"/>
    </row>
    <row r="781" spans="1:18" s="440" customFormat="1" ht="36" customHeight="1">
      <c r="A781" s="984"/>
      <c r="B781" s="972"/>
      <c r="C781" s="450"/>
      <c r="D781" s="438"/>
      <c r="E781" s="954" t="s">
        <v>480</v>
      </c>
      <c r="F781" s="985"/>
      <c r="G781" s="973"/>
      <c r="H781" s="973"/>
      <c r="I781" s="973"/>
      <c r="J781" s="973"/>
      <c r="K781" s="383"/>
      <c r="L781" s="955"/>
      <c r="M781" s="955"/>
      <c r="N781" s="983">
        <v>0</v>
      </c>
      <c r="O781" s="981"/>
      <c r="P781" s="772"/>
      <c r="Q781" s="812"/>
      <c r="R781" s="953"/>
    </row>
    <row r="782" spans="1:18" s="440" customFormat="1" ht="36" customHeight="1">
      <c r="A782" s="984"/>
      <c r="B782" s="972"/>
      <c r="C782" s="450"/>
      <c r="D782" s="438"/>
      <c r="E782" s="954" t="s">
        <v>534</v>
      </c>
      <c r="F782" s="985"/>
      <c r="G782" s="973"/>
      <c r="H782" s="973"/>
      <c r="I782" s="973"/>
      <c r="J782" s="973"/>
      <c r="K782" s="383"/>
      <c r="L782" s="955"/>
      <c r="M782" s="955"/>
      <c r="N782" s="983">
        <v>0</v>
      </c>
      <c r="O782" s="981"/>
      <c r="P782" s="772"/>
      <c r="Q782" s="812"/>
      <c r="R782" s="953"/>
    </row>
    <row r="783" spans="1:18" s="440" customFormat="1" ht="36" customHeight="1">
      <c r="A783" s="984"/>
      <c r="B783" s="972"/>
      <c r="C783" s="450"/>
      <c r="D783" s="438"/>
      <c r="E783" s="954" t="s">
        <v>437</v>
      </c>
      <c r="F783" s="985"/>
      <c r="G783" s="973"/>
      <c r="H783" s="973"/>
      <c r="I783" s="973"/>
      <c r="J783" s="973"/>
      <c r="K783" s="383"/>
      <c r="L783" s="955"/>
      <c r="M783" s="955"/>
      <c r="N783" s="983">
        <v>0</v>
      </c>
      <c r="O783" s="981"/>
      <c r="P783" s="772"/>
      <c r="Q783" s="812"/>
      <c r="R783" s="953"/>
    </row>
    <row r="784" spans="1:18" s="440" customFormat="1" ht="36" customHeight="1">
      <c r="A784" s="984"/>
      <c r="B784" s="972"/>
      <c r="C784" s="450"/>
      <c r="D784" s="438"/>
      <c r="E784" s="954" t="s">
        <v>438</v>
      </c>
      <c r="F784" s="985"/>
      <c r="G784" s="973"/>
      <c r="H784" s="973"/>
      <c r="I784" s="973"/>
      <c r="J784" s="973"/>
      <c r="K784" s="383"/>
      <c r="L784" s="955"/>
      <c r="M784" s="955"/>
      <c r="N784" s="983">
        <v>0</v>
      </c>
      <c r="O784" s="981"/>
      <c r="P784" s="772"/>
      <c r="Q784" s="812"/>
      <c r="R784" s="953"/>
    </row>
    <row r="785" spans="1:18" s="440" customFormat="1" ht="36" customHeight="1">
      <c r="A785" s="984"/>
      <c r="B785" s="972"/>
      <c r="C785" s="450"/>
      <c r="D785" s="438"/>
      <c r="E785" s="954" t="s">
        <v>481</v>
      </c>
      <c r="F785" s="985"/>
      <c r="G785" s="973"/>
      <c r="H785" s="973"/>
      <c r="I785" s="973"/>
      <c r="J785" s="973"/>
      <c r="K785" s="383"/>
      <c r="L785" s="955"/>
      <c r="M785" s="955"/>
      <c r="N785" s="983">
        <v>0</v>
      </c>
      <c r="O785" s="981"/>
      <c r="P785" s="772"/>
      <c r="Q785" s="812"/>
      <c r="R785" s="953"/>
    </row>
    <row r="786" spans="1:18" s="440" customFormat="1" ht="36" customHeight="1">
      <c r="A786" s="984"/>
      <c r="B786" s="972"/>
      <c r="C786" s="450"/>
      <c r="D786" s="438"/>
      <c r="E786" s="954" t="s">
        <v>439</v>
      </c>
      <c r="F786" s="985"/>
      <c r="G786" s="973"/>
      <c r="H786" s="973"/>
      <c r="I786" s="973"/>
      <c r="J786" s="973"/>
      <c r="K786" s="383"/>
      <c r="L786" s="955"/>
      <c r="M786" s="955"/>
      <c r="N786" s="983">
        <v>0</v>
      </c>
      <c r="O786" s="981"/>
      <c r="P786" s="772"/>
      <c r="Q786" s="812"/>
      <c r="R786" s="953"/>
    </row>
    <row r="787" spans="1:18" s="440" customFormat="1" ht="36" customHeight="1">
      <c r="A787" s="984"/>
      <c r="B787" s="972"/>
      <c r="C787" s="450"/>
      <c r="D787" s="438"/>
      <c r="E787" s="954" t="s">
        <v>440</v>
      </c>
      <c r="F787" s="985"/>
      <c r="G787" s="973"/>
      <c r="H787" s="973"/>
      <c r="I787" s="973"/>
      <c r="J787" s="973"/>
      <c r="K787" s="383"/>
      <c r="L787" s="955"/>
      <c r="M787" s="955"/>
      <c r="N787" s="983">
        <v>0</v>
      </c>
      <c r="O787" s="981"/>
      <c r="P787" s="772"/>
      <c r="Q787" s="812"/>
      <c r="R787" s="953"/>
    </row>
    <row r="788" spans="1:18" s="440" customFormat="1" ht="36" customHeight="1">
      <c r="A788" s="984"/>
      <c r="B788" s="972"/>
      <c r="C788" s="450"/>
      <c r="D788" s="438"/>
      <c r="E788" s="954" t="s">
        <v>441</v>
      </c>
      <c r="F788" s="985"/>
      <c r="G788" s="973"/>
      <c r="H788" s="973"/>
      <c r="I788" s="973"/>
      <c r="J788" s="973"/>
      <c r="K788" s="383"/>
      <c r="L788" s="955"/>
      <c r="M788" s="955"/>
      <c r="N788" s="983">
        <v>0</v>
      </c>
      <c r="O788" s="981"/>
      <c r="P788" s="772"/>
      <c r="Q788" s="812"/>
      <c r="R788" s="953"/>
    </row>
    <row r="789" spans="1:18" s="440" customFormat="1" ht="57" customHeight="1">
      <c r="A789" s="984"/>
      <c r="B789" s="972"/>
      <c r="C789" s="450"/>
      <c r="D789" s="438"/>
      <c r="E789" s="954" t="s">
        <v>551</v>
      </c>
      <c r="F789" s="985"/>
      <c r="G789" s="973"/>
      <c r="H789" s="973"/>
      <c r="I789" s="973"/>
      <c r="J789" s="973"/>
      <c r="K789" s="383"/>
      <c r="L789" s="955"/>
      <c r="M789" s="955"/>
      <c r="N789" s="983">
        <v>110799.24</v>
      </c>
      <c r="O789" s="981"/>
      <c r="P789" s="772"/>
      <c r="Q789" s="812"/>
      <c r="R789" s="953"/>
    </row>
    <row r="790" spans="1:18" s="440" customFormat="1" ht="36" customHeight="1">
      <c r="A790" s="984"/>
      <c r="B790" s="972"/>
      <c r="C790" s="450"/>
      <c r="D790" s="438"/>
      <c r="E790" s="954" t="s">
        <v>442</v>
      </c>
      <c r="F790" s="985"/>
      <c r="G790" s="973"/>
      <c r="H790" s="973"/>
      <c r="I790" s="973"/>
      <c r="J790" s="973"/>
      <c r="K790" s="383"/>
      <c r="L790" s="955"/>
      <c r="M790" s="955"/>
      <c r="N790" s="983">
        <v>0</v>
      </c>
      <c r="O790" s="981"/>
      <c r="P790" s="772"/>
      <c r="Q790" s="812"/>
      <c r="R790" s="953"/>
    </row>
    <row r="791" spans="1:18" s="440" customFormat="1" ht="36" customHeight="1">
      <c r="A791" s="984"/>
      <c r="B791" s="972"/>
      <c r="C791" s="450"/>
      <c r="D791" s="438"/>
      <c r="E791" s="954" t="s">
        <v>443</v>
      </c>
      <c r="F791" s="985"/>
      <c r="G791" s="973"/>
      <c r="H791" s="973"/>
      <c r="I791" s="973"/>
      <c r="J791" s="973"/>
      <c r="K791" s="383"/>
      <c r="L791" s="955"/>
      <c r="M791" s="955"/>
      <c r="N791" s="983">
        <v>18406.14</v>
      </c>
      <c r="O791" s="981"/>
      <c r="P791" s="772"/>
      <c r="Q791" s="812"/>
      <c r="R791" s="953"/>
    </row>
    <row r="792" spans="1:18" s="440" customFormat="1" ht="36" customHeight="1">
      <c r="A792" s="984"/>
      <c r="B792" s="972"/>
      <c r="C792" s="450"/>
      <c r="D792" s="438"/>
      <c r="E792" s="954" t="s">
        <v>482</v>
      </c>
      <c r="F792" s="985"/>
      <c r="G792" s="973"/>
      <c r="H792" s="973"/>
      <c r="I792" s="973"/>
      <c r="J792" s="973"/>
      <c r="K792" s="383"/>
      <c r="L792" s="955"/>
      <c r="M792" s="955"/>
      <c r="N792" s="983">
        <v>0</v>
      </c>
      <c r="O792" s="981"/>
      <c r="P792" s="772"/>
      <c r="Q792" s="812"/>
      <c r="R792" s="953"/>
    </row>
    <row r="793" spans="1:18" s="440" customFormat="1" ht="36" customHeight="1">
      <c r="A793" s="984"/>
      <c r="B793" s="972"/>
      <c r="C793" s="450"/>
      <c r="D793" s="438"/>
      <c r="E793" s="954" t="s">
        <v>552</v>
      </c>
      <c r="F793" s="985"/>
      <c r="G793" s="973"/>
      <c r="H793" s="973"/>
      <c r="I793" s="973"/>
      <c r="J793" s="973"/>
      <c r="K793" s="383"/>
      <c r="L793" s="955"/>
      <c r="M793" s="955"/>
      <c r="N793" s="983">
        <v>3726</v>
      </c>
      <c r="O793" s="981"/>
      <c r="P793" s="772"/>
      <c r="Q793" s="812"/>
      <c r="R793" s="953"/>
    </row>
    <row r="794" spans="1:18" s="440" customFormat="1" ht="36" customHeight="1">
      <c r="A794" s="984"/>
      <c r="B794" s="972"/>
      <c r="C794" s="450"/>
      <c r="D794" s="438"/>
      <c r="E794" s="954" t="s">
        <v>446</v>
      </c>
      <c r="F794" s="985"/>
      <c r="G794" s="973"/>
      <c r="H794" s="973"/>
      <c r="I794" s="973"/>
      <c r="J794" s="973"/>
      <c r="K794" s="383"/>
      <c r="L794" s="955"/>
      <c r="M794" s="955"/>
      <c r="N794" s="983">
        <v>23816.34</v>
      </c>
      <c r="O794" s="981"/>
      <c r="P794" s="772"/>
      <c r="Q794" s="812"/>
      <c r="R794" s="953"/>
    </row>
    <row r="795" spans="1:18" s="440" customFormat="1" ht="58.5" customHeight="1">
      <c r="A795" s="984"/>
      <c r="B795" s="972"/>
      <c r="C795" s="986"/>
      <c r="D795" s="438"/>
      <c r="E795" s="945" t="s">
        <v>418</v>
      </c>
      <c r="F795" s="949">
        <v>117300</v>
      </c>
      <c r="G795" s="949">
        <v>111778</v>
      </c>
      <c r="H795" s="949">
        <v>74715.13</v>
      </c>
      <c r="I795" s="973"/>
      <c r="J795" s="973"/>
      <c r="K795" s="529"/>
      <c r="L795" s="949">
        <v>415000</v>
      </c>
      <c r="M795" s="949">
        <v>415000</v>
      </c>
      <c r="N795" s="977">
        <f>SUM(N796:N816)</f>
        <v>199390.32</v>
      </c>
      <c r="O795" s="978">
        <f>N795/M795</f>
        <v>0.48045860240963856</v>
      </c>
      <c r="P795" s="772" t="s">
        <v>395</v>
      </c>
      <c r="Q795" s="812"/>
      <c r="R795" s="953"/>
    </row>
    <row r="796" spans="1:18" s="440" customFormat="1" ht="56.25" customHeight="1">
      <c r="A796" s="984"/>
      <c r="B796" s="972"/>
      <c r="C796" s="986"/>
      <c r="D796" s="438"/>
      <c r="E796" s="957" t="s">
        <v>447</v>
      </c>
      <c r="F796" s="958"/>
      <c r="G796" s="958"/>
      <c r="H796" s="958">
        <v>0</v>
      </c>
      <c r="I796" s="973"/>
      <c r="J796" s="973"/>
      <c r="K796" s="529"/>
      <c r="L796" s="958"/>
      <c r="M796" s="958"/>
      <c r="N796" s="983">
        <v>0</v>
      </c>
      <c r="O796" s="981"/>
      <c r="P796" s="772"/>
      <c r="Q796" s="812"/>
      <c r="R796" s="953"/>
    </row>
    <row r="797" spans="1:18" s="440" customFormat="1" ht="36" customHeight="1">
      <c r="A797" s="984"/>
      <c r="B797" s="972"/>
      <c r="C797" s="986"/>
      <c r="D797" s="438"/>
      <c r="E797" s="957" t="s">
        <v>448</v>
      </c>
      <c r="F797" s="958"/>
      <c r="G797" s="958"/>
      <c r="H797" s="958">
        <v>0</v>
      </c>
      <c r="I797" s="973"/>
      <c r="J797" s="973"/>
      <c r="K797" s="529"/>
      <c r="L797" s="958"/>
      <c r="M797" s="958"/>
      <c r="N797" s="983">
        <v>0</v>
      </c>
      <c r="O797" s="981"/>
      <c r="P797" s="772"/>
      <c r="Q797" s="812"/>
      <c r="R797" s="953"/>
    </row>
    <row r="798" spans="1:18" s="440" customFormat="1" ht="36" customHeight="1">
      <c r="A798" s="984"/>
      <c r="B798" s="972"/>
      <c r="C798" s="986"/>
      <c r="D798" s="438"/>
      <c r="E798" s="957" t="s">
        <v>449</v>
      </c>
      <c r="F798" s="958"/>
      <c r="G798" s="958"/>
      <c r="H798" s="958">
        <v>0</v>
      </c>
      <c r="I798" s="973"/>
      <c r="J798" s="973"/>
      <c r="K798" s="529"/>
      <c r="L798" s="958"/>
      <c r="M798" s="958"/>
      <c r="N798" s="983">
        <v>0</v>
      </c>
      <c r="O798" s="981"/>
      <c r="P798" s="772"/>
      <c r="Q798" s="812"/>
      <c r="R798" s="953"/>
    </row>
    <row r="799" spans="1:18" s="440" customFormat="1" ht="36" customHeight="1">
      <c r="A799" s="984"/>
      <c r="B799" s="972"/>
      <c r="C799" s="986"/>
      <c r="D799" s="438"/>
      <c r="E799" s="957" t="s">
        <v>450</v>
      </c>
      <c r="F799" s="958"/>
      <c r="G799" s="958"/>
      <c r="H799" s="958">
        <v>0</v>
      </c>
      <c r="I799" s="973"/>
      <c r="J799" s="973"/>
      <c r="K799" s="529"/>
      <c r="L799" s="958"/>
      <c r="M799" s="958"/>
      <c r="N799" s="983">
        <v>0</v>
      </c>
      <c r="O799" s="981"/>
      <c r="P799" s="772"/>
      <c r="Q799" s="812"/>
      <c r="R799" s="953"/>
    </row>
    <row r="800" spans="1:18" s="440" customFormat="1" ht="36" customHeight="1">
      <c r="A800" s="984"/>
      <c r="B800" s="972"/>
      <c r="C800" s="986"/>
      <c r="D800" s="438"/>
      <c r="E800" s="957" t="s">
        <v>451</v>
      </c>
      <c r="F800" s="958"/>
      <c r="G800" s="958"/>
      <c r="H800" s="958">
        <v>0</v>
      </c>
      <c r="I800" s="973"/>
      <c r="J800" s="973"/>
      <c r="K800" s="529"/>
      <c r="L800" s="958"/>
      <c r="M800" s="958"/>
      <c r="N800" s="983">
        <v>0</v>
      </c>
      <c r="O800" s="981"/>
      <c r="P800" s="772"/>
      <c r="Q800" s="812"/>
      <c r="R800" s="953"/>
    </row>
    <row r="801" spans="1:18" s="440" customFormat="1" ht="57.75" customHeight="1">
      <c r="A801" s="984"/>
      <c r="B801" s="972"/>
      <c r="C801" s="986"/>
      <c r="D801" s="438"/>
      <c r="E801" s="960" t="s">
        <v>553</v>
      </c>
      <c r="F801" s="958"/>
      <c r="G801" s="958"/>
      <c r="H801" s="958">
        <v>4300</v>
      </c>
      <c r="I801" s="973"/>
      <c r="J801" s="973"/>
      <c r="K801" s="529"/>
      <c r="L801" s="958"/>
      <c r="M801" s="958"/>
      <c r="N801" s="983">
        <v>650</v>
      </c>
      <c r="O801" s="981"/>
      <c r="P801" s="772"/>
      <c r="Q801" s="812"/>
      <c r="R801" s="953"/>
    </row>
    <row r="802" spans="1:18" s="440" customFormat="1" ht="84" customHeight="1">
      <c r="A802" s="984"/>
      <c r="B802" s="972"/>
      <c r="C802" s="986"/>
      <c r="D802" s="438"/>
      <c r="E802" s="957" t="s">
        <v>452</v>
      </c>
      <c r="F802" s="958"/>
      <c r="G802" s="958"/>
      <c r="H802" s="958">
        <v>0</v>
      </c>
      <c r="I802" s="973"/>
      <c r="J802" s="973"/>
      <c r="K802" s="529"/>
      <c r="L802" s="958"/>
      <c r="M802" s="958"/>
      <c r="N802" s="983">
        <v>0</v>
      </c>
      <c r="O802" s="981"/>
      <c r="P802" s="772"/>
      <c r="Q802" s="812"/>
      <c r="R802" s="953"/>
    </row>
    <row r="803" spans="1:18" s="440" customFormat="1" ht="54.75" customHeight="1">
      <c r="A803" s="984"/>
      <c r="B803" s="972"/>
      <c r="C803" s="986"/>
      <c r="D803" s="438"/>
      <c r="E803" s="957" t="s">
        <v>453</v>
      </c>
      <c r="F803" s="958"/>
      <c r="G803" s="958"/>
      <c r="H803" s="958">
        <v>0</v>
      </c>
      <c r="I803" s="973"/>
      <c r="J803" s="973"/>
      <c r="K803" s="529"/>
      <c r="L803" s="958"/>
      <c r="M803" s="958"/>
      <c r="N803" s="983">
        <v>0</v>
      </c>
      <c r="O803" s="981"/>
      <c r="P803" s="772"/>
      <c r="Q803" s="812"/>
      <c r="R803" s="953"/>
    </row>
    <row r="804" spans="1:18" s="440" customFormat="1" ht="36" customHeight="1">
      <c r="A804" s="984"/>
      <c r="B804" s="972"/>
      <c r="C804" s="986"/>
      <c r="D804" s="438"/>
      <c r="E804" s="957" t="s">
        <v>454</v>
      </c>
      <c r="F804" s="958"/>
      <c r="G804" s="958"/>
      <c r="H804" s="958">
        <v>0</v>
      </c>
      <c r="I804" s="973"/>
      <c r="J804" s="973"/>
      <c r="K804" s="529"/>
      <c r="L804" s="958"/>
      <c r="M804" s="958"/>
      <c r="N804" s="983">
        <v>1551.21</v>
      </c>
      <c r="O804" s="981"/>
      <c r="P804" s="772"/>
      <c r="Q804" s="812"/>
      <c r="R804" s="953"/>
    </row>
    <row r="805" spans="1:18" s="440" customFormat="1" ht="54.75" customHeight="1">
      <c r="A805" s="984"/>
      <c r="B805" s="972"/>
      <c r="C805" s="986"/>
      <c r="D805" s="438"/>
      <c r="E805" s="957" t="s">
        <v>455</v>
      </c>
      <c r="F805" s="958"/>
      <c r="G805" s="958"/>
      <c r="H805" s="958">
        <v>0</v>
      </c>
      <c r="I805" s="973"/>
      <c r="J805" s="973"/>
      <c r="K805" s="529"/>
      <c r="L805" s="958"/>
      <c r="M805" s="958"/>
      <c r="N805" s="983">
        <v>0</v>
      </c>
      <c r="O805" s="981"/>
      <c r="P805" s="772"/>
      <c r="Q805" s="812"/>
      <c r="R805" s="953"/>
    </row>
    <row r="806" spans="1:18" s="440" customFormat="1" ht="36" customHeight="1">
      <c r="A806" s="984"/>
      <c r="B806" s="972"/>
      <c r="C806" s="986"/>
      <c r="D806" s="438"/>
      <c r="E806" s="957" t="s">
        <v>456</v>
      </c>
      <c r="F806" s="958"/>
      <c r="G806" s="958"/>
      <c r="H806" s="958">
        <v>0</v>
      </c>
      <c r="I806" s="973"/>
      <c r="J806" s="973"/>
      <c r="K806" s="529"/>
      <c r="L806" s="958"/>
      <c r="M806" s="958"/>
      <c r="N806" s="983">
        <v>1114.3800000000001</v>
      </c>
      <c r="O806" s="981"/>
      <c r="P806" s="772"/>
      <c r="Q806" s="812"/>
      <c r="R806" s="953"/>
    </row>
    <row r="807" spans="1:18" s="440" customFormat="1" ht="54.75" customHeight="1">
      <c r="A807" s="984"/>
      <c r="B807" s="972"/>
      <c r="C807" s="986"/>
      <c r="D807" s="438"/>
      <c r="E807" s="957" t="s">
        <v>457</v>
      </c>
      <c r="F807" s="958"/>
      <c r="G807" s="958"/>
      <c r="H807" s="958">
        <v>0</v>
      </c>
      <c r="I807" s="973"/>
      <c r="J807" s="973"/>
      <c r="K807" s="529"/>
      <c r="L807" s="958"/>
      <c r="M807" s="958"/>
      <c r="N807" s="983">
        <v>0</v>
      </c>
      <c r="O807" s="981"/>
      <c r="P807" s="772"/>
      <c r="Q807" s="812"/>
      <c r="R807" s="953"/>
    </row>
    <row r="808" spans="1:18" s="440" customFormat="1" ht="36" customHeight="1">
      <c r="A808" s="984"/>
      <c r="B808" s="972"/>
      <c r="C808" s="986"/>
      <c r="D808" s="438"/>
      <c r="E808" s="957" t="s">
        <v>458</v>
      </c>
      <c r="F808" s="961"/>
      <c r="G808" s="961"/>
      <c r="H808" s="958">
        <v>32231.32</v>
      </c>
      <c r="I808" s="973"/>
      <c r="J808" s="973"/>
      <c r="K808" s="529"/>
      <c r="L808" s="961"/>
      <c r="M808" s="961"/>
      <c r="N808" s="983">
        <v>1419.33</v>
      </c>
      <c r="O808" s="981"/>
      <c r="P808" s="772"/>
      <c r="Q808" s="812"/>
      <c r="R808" s="953"/>
    </row>
    <row r="809" spans="1:18" s="440" customFormat="1" ht="36" customHeight="1">
      <c r="A809" s="984"/>
      <c r="B809" s="972"/>
      <c r="C809" s="986"/>
      <c r="D809" s="438"/>
      <c r="E809" s="957" t="s">
        <v>459</v>
      </c>
      <c r="F809" s="961"/>
      <c r="G809" s="961"/>
      <c r="H809" s="958">
        <v>0</v>
      </c>
      <c r="I809" s="973"/>
      <c r="J809" s="973"/>
      <c r="K809" s="529"/>
      <c r="L809" s="961"/>
      <c r="M809" s="961"/>
      <c r="N809" s="983">
        <v>648</v>
      </c>
      <c r="O809" s="981"/>
      <c r="P809" s="772"/>
      <c r="Q809" s="812"/>
      <c r="R809" s="953"/>
    </row>
    <row r="810" spans="1:18" s="440" customFormat="1" ht="36" customHeight="1">
      <c r="A810" s="984"/>
      <c r="B810" s="972"/>
      <c r="C810" s="986"/>
      <c r="D810" s="438"/>
      <c r="E810" s="957" t="s">
        <v>460</v>
      </c>
      <c r="F810" s="961"/>
      <c r="G810" s="961"/>
      <c r="H810" s="958">
        <v>692</v>
      </c>
      <c r="I810" s="973"/>
      <c r="J810" s="973"/>
      <c r="K810" s="529"/>
      <c r="L810" s="961"/>
      <c r="M810" s="961"/>
      <c r="N810" s="983">
        <v>0</v>
      </c>
      <c r="O810" s="981"/>
      <c r="P810" s="772"/>
      <c r="Q810" s="812"/>
      <c r="R810" s="953"/>
    </row>
    <row r="811" spans="1:18" s="440" customFormat="1" ht="36" customHeight="1">
      <c r="A811" s="984"/>
      <c r="B811" s="972"/>
      <c r="C811" s="986"/>
      <c r="D811" s="438"/>
      <c r="E811" s="957" t="s">
        <v>461</v>
      </c>
      <c r="F811" s="961"/>
      <c r="G811" s="961"/>
      <c r="H811" s="958">
        <v>35817</v>
      </c>
      <c r="I811" s="973"/>
      <c r="J811" s="973"/>
      <c r="K811" s="529"/>
      <c r="L811" s="961"/>
      <c r="M811" s="961"/>
      <c r="N811" s="983">
        <v>7897</v>
      </c>
      <c r="O811" s="981"/>
      <c r="P811" s="772"/>
      <c r="Q811" s="812"/>
      <c r="R811" s="953"/>
    </row>
    <row r="812" spans="1:18" s="440" customFormat="1" ht="36" customHeight="1">
      <c r="A812" s="984"/>
      <c r="B812" s="972"/>
      <c r="C812" s="986"/>
      <c r="D812" s="438"/>
      <c r="E812" s="957" t="s">
        <v>462</v>
      </c>
      <c r="F812" s="961"/>
      <c r="G812" s="961"/>
      <c r="H812" s="958">
        <v>0</v>
      </c>
      <c r="I812" s="973"/>
      <c r="J812" s="973"/>
      <c r="K812" s="529"/>
      <c r="L812" s="961"/>
      <c r="M812" s="961"/>
      <c r="N812" s="983">
        <v>133624.24</v>
      </c>
      <c r="O812" s="981"/>
      <c r="P812" s="772"/>
      <c r="Q812" s="812"/>
      <c r="R812" s="953"/>
    </row>
    <row r="813" spans="1:18" s="440" customFormat="1" ht="61.5" customHeight="1">
      <c r="A813" s="984"/>
      <c r="B813" s="972"/>
      <c r="C813" s="986"/>
      <c r="D813" s="438"/>
      <c r="E813" s="957" t="s">
        <v>463</v>
      </c>
      <c r="F813" s="961"/>
      <c r="G813" s="961"/>
      <c r="H813" s="958">
        <v>0</v>
      </c>
      <c r="I813" s="973"/>
      <c r="J813" s="973"/>
      <c r="K813" s="529"/>
      <c r="L813" s="961"/>
      <c r="M813" s="961"/>
      <c r="N813" s="983">
        <v>447.72</v>
      </c>
      <c r="O813" s="981"/>
      <c r="P813" s="772"/>
      <c r="Q813" s="812"/>
      <c r="R813" s="953"/>
    </row>
    <row r="814" spans="1:18" s="440" customFormat="1" ht="36" customHeight="1">
      <c r="A814" s="984"/>
      <c r="B814" s="972"/>
      <c r="C814" s="986"/>
      <c r="D814" s="438"/>
      <c r="E814" s="957" t="s">
        <v>464</v>
      </c>
      <c r="F814" s="961"/>
      <c r="G814" s="961"/>
      <c r="H814" s="958">
        <v>0</v>
      </c>
      <c r="I814" s="973"/>
      <c r="J814" s="973"/>
      <c r="K814" s="529"/>
      <c r="L814" s="961"/>
      <c r="M814" s="961"/>
      <c r="N814" s="983">
        <v>0</v>
      </c>
      <c r="O814" s="981"/>
      <c r="P814" s="772"/>
      <c r="Q814" s="812"/>
      <c r="R814" s="953"/>
    </row>
    <row r="815" spans="1:18" s="440" customFormat="1" ht="36" customHeight="1">
      <c r="A815" s="984"/>
      <c r="B815" s="972"/>
      <c r="C815" s="986"/>
      <c r="D815" s="438"/>
      <c r="E815" s="957" t="s">
        <v>465</v>
      </c>
      <c r="F815" s="961"/>
      <c r="G815" s="961"/>
      <c r="H815" s="958">
        <v>0</v>
      </c>
      <c r="I815" s="973"/>
      <c r="J815" s="973"/>
      <c r="K815" s="529"/>
      <c r="L815" s="961"/>
      <c r="M815" s="961"/>
      <c r="N815" s="983">
        <v>0</v>
      </c>
      <c r="O815" s="981"/>
      <c r="P815" s="772"/>
      <c r="Q815" s="812"/>
      <c r="R815" s="953"/>
    </row>
    <row r="816" spans="1:18" s="440" customFormat="1" ht="36" customHeight="1">
      <c r="A816" s="984"/>
      <c r="B816" s="972"/>
      <c r="C816" s="986"/>
      <c r="D816" s="438"/>
      <c r="E816" s="957" t="s">
        <v>466</v>
      </c>
      <c r="F816" s="961"/>
      <c r="G816" s="961"/>
      <c r="H816" s="958">
        <v>1674.81</v>
      </c>
      <c r="I816" s="973"/>
      <c r="J816" s="973"/>
      <c r="K816" s="529"/>
      <c r="L816" s="961"/>
      <c r="M816" s="961"/>
      <c r="N816" s="983">
        <v>52038.44</v>
      </c>
      <c r="O816" s="981"/>
      <c r="P816" s="772"/>
      <c r="Q816" s="812"/>
      <c r="R816" s="953"/>
    </row>
    <row r="817" spans="1:18" s="440" customFormat="1" ht="57" customHeight="1">
      <c r="A817" s="984"/>
      <c r="B817" s="972"/>
      <c r="C817" s="986"/>
      <c r="D817" s="438"/>
      <c r="E817" s="945" t="s">
        <v>467</v>
      </c>
      <c r="F817" s="949">
        <v>117300</v>
      </c>
      <c r="G817" s="949">
        <v>111778</v>
      </c>
      <c r="H817" s="949">
        <v>74715.13</v>
      </c>
      <c r="I817" s="973"/>
      <c r="J817" s="973"/>
      <c r="K817" s="529"/>
      <c r="L817" s="949">
        <v>0</v>
      </c>
      <c r="M817" s="949">
        <v>0</v>
      </c>
      <c r="N817" s="949">
        <v>0</v>
      </c>
      <c r="O817" s="978">
        <v>0</v>
      </c>
      <c r="P817" s="772" t="s">
        <v>395</v>
      </c>
      <c r="Q817" s="812"/>
      <c r="R817" s="953"/>
    </row>
    <row r="818" spans="1:18" s="271" customFormat="1" ht="39.9" customHeight="1">
      <c r="A818" s="487"/>
      <c r="B818" s="173"/>
      <c r="C818" s="453">
        <v>2</v>
      </c>
      <c r="D818" s="179"/>
      <c r="E818" s="461" t="s">
        <v>284</v>
      </c>
      <c r="F818" s="254"/>
      <c r="G818" s="455"/>
      <c r="H818" s="455"/>
      <c r="I818" s="455"/>
      <c r="J818" s="455"/>
      <c r="K818" s="455">
        <v>647000</v>
      </c>
      <c r="L818" s="455">
        <f>L819+L838+L860</f>
        <v>647000</v>
      </c>
      <c r="M818" s="455">
        <f t="shared" ref="M818:N818" si="91">M819+M838+M860</f>
        <v>647000</v>
      </c>
      <c r="N818" s="455">
        <f t="shared" si="91"/>
        <v>307809.81</v>
      </c>
      <c r="O818" s="878">
        <f>N818/M818</f>
        <v>0.47574931993817621</v>
      </c>
      <c r="P818" s="787" t="s">
        <v>395</v>
      </c>
      <c r="Q818" s="670"/>
    </row>
    <row r="819" spans="1:18" s="431" customFormat="1" ht="50.25" customHeight="1">
      <c r="A819" s="987"/>
      <c r="B819" s="944"/>
      <c r="C819" s="458"/>
      <c r="D819" s="444"/>
      <c r="E819" s="945" t="s">
        <v>412</v>
      </c>
      <c r="F819" s="976"/>
      <c r="G819" s="946"/>
      <c r="H819" s="946"/>
      <c r="I819" s="946"/>
      <c r="J819" s="947"/>
      <c r="K819" s="948"/>
      <c r="L819" s="949">
        <v>240000</v>
      </c>
      <c r="M819" s="949">
        <v>240000</v>
      </c>
      <c r="N819" s="977">
        <f>SUM(N821:N837)</f>
        <v>147692.67000000001</v>
      </c>
      <c r="O819" s="978">
        <f>N819/M819</f>
        <v>0.61538612500000001</v>
      </c>
      <c r="P819" s="780" t="s">
        <v>395</v>
      </c>
      <c r="Q819" s="908"/>
      <c r="R819" s="951"/>
    </row>
    <row r="820" spans="1:18" s="440" customFormat="1" ht="34.5" customHeight="1">
      <c r="A820" s="984"/>
      <c r="B820" s="972"/>
      <c r="C820" s="450"/>
      <c r="D820" s="438"/>
      <c r="E820" s="952" t="s">
        <v>13</v>
      </c>
      <c r="F820" s="985"/>
      <c r="G820" s="973"/>
      <c r="H820" s="973"/>
      <c r="I820" s="973"/>
      <c r="J820" s="973"/>
      <c r="K820" s="383"/>
      <c r="L820" s="980"/>
      <c r="M820" s="980"/>
      <c r="N820" s="980"/>
      <c r="O820" s="981"/>
      <c r="P820" s="772"/>
      <c r="Q820" s="812"/>
      <c r="R820" s="953"/>
    </row>
    <row r="821" spans="1:18" s="440" customFormat="1" ht="36" customHeight="1">
      <c r="A821" s="984"/>
      <c r="B821" s="972"/>
      <c r="C821" s="450"/>
      <c r="D821" s="425"/>
      <c r="E821" s="954" t="s">
        <v>477</v>
      </c>
      <c r="F821" s="985"/>
      <c r="G821" s="973"/>
      <c r="H821" s="973"/>
      <c r="I821" s="973"/>
      <c r="J821" s="973"/>
      <c r="K821" s="383"/>
      <c r="L821" s="955"/>
      <c r="M821" s="955"/>
      <c r="N821" s="983">
        <v>0</v>
      </c>
      <c r="O821" s="981"/>
      <c r="P821" s="772"/>
      <c r="Q821" s="812"/>
      <c r="R821" s="953"/>
    </row>
    <row r="822" spans="1:18" s="440" customFormat="1" ht="57" customHeight="1">
      <c r="A822" s="984"/>
      <c r="B822" s="972"/>
      <c r="C822" s="450"/>
      <c r="D822" s="438"/>
      <c r="E822" s="954" t="s">
        <v>478</v>
      </c>
      <c r="F822" s="985"/>
      <c r="G822" s="973"/>
      <c r="H822" s="973"/>
      <c r="I822" s="973"/>
      <c r="J822" s="973"/>
      <c r="K822" s="383"/>
      <c r="L822" s="955"/>
      <c r="M822" s="955"/>
      <c r="N822" s="983">
        <v>0</v>
      </c>
      <c r="O822" s="981"/>
      <c r="P822" s="772"/>
      <c r="Q822" s="812"/>
      <c r="R822" s="953"/>
    </row>
    <row r="823" spans="1:18" s="440" customFormat="1" ht="36" customHeight="1">
      <c r="A823" s="984"/>
      <c r="B823" s="972"/>
      <c r="C823" s="450"/>
      <c r="D823" s="438"/>
      <c r="E823" s="954" t="s">
        <v>479</v>
      </c>
      <c r="F823" s="985"/>
      <c r="G823" s="973"/>
      <c r="H823" s="973"/>
      <c r="I823" s="973"/>
      <c r="J823" s="973"/>
      <c r="K823" s="383"/>
      <c r="L823" s="955"/>
      <c r="M823" s="955"/>
      <c r="N823" s="983">
        <v>0</v>
      </c>
      <c r="O823" s="981"/>
      <c r="P823" s="772"/>
      <c r="Q823" s="812"/>
      <c r="R823" s="953"/>
    </row>
    <row r="824" spans="1:18" s="440" customFormat="1" ht="36" customHeight="1">
      <c r="A824" s="984"/>
      <c r="B824" s="972"/>
      <c r="C824" s="450"/>
      <c r="D824" s="438"/>
      <c r="E824" s="954" t="s">
        <v>480</v>
      </c>
      <c r="F824" s="985"/>
      <c r="G824" s="973"/>
      <c r="H824" s="973"/>
      <c r="I824" s="973"/>
      <c r="J824" s="973"/>
      <c r="K824" s="383"/>
      <c r="L824" s="955"/>
      <c r="M824" s="955"/>
      <c r="N824" s="983">
        <v>0</v>
      </c>
      <c r="O824" s="981"/>
      <c r="P824" s="772"/>
      <c r="Q824" s="812"/>
      <c r="R824" s="953"/>
    </row>
    <row r="825" spans="1:18" s="440" customFormat="1" ht="36" customHeight="1">
      <c r="A825" s="984"/>
      <c r="B825" s="972"/>
      <c r="C825" s="450"/>
      <c r="D825" s="438"/>
      <c r="E825" s="954" t="s">
        <v>534</v>
      </c>
      <c r="F825" s="985"/>
      <c r="G825" s="973"/>
      <c r="H825" s="973"/>
      <c r="I825" s="973"/>
      <c r="J825" s="973"/>
      <c r="K825" s="383"/>
      <c r="L825" s="955"/>
      <c r="M825" s="955"/>
      <c r="N825" s="983">
        <v>0</v>
      </c>
      <c r="O825" s="981"/>
      <c r="P825" s="772"/>
      <c r="Q825" s="812"/>
      <c r="R825" s="953"/>
    </row>
    <row r="826" spans="1:18" s="440" customFormat="1" ht="36" customHeight="1">
      <c r="A826" s="984"/>
      <c r="B826" s="972"/>
      <c r="C826" s="450"/>
      <c r="D826" s="438"/>
      <c r="E826" s="954" t="s">
        <v>437</v>
      </c>
      <c r="F826" s="985"/>
      <c r="G826" s="973"/>
      <c r="H826" s="973"/>
      <c r="I826" s="973"/>
      <c r="J826" s="973"/>
      <c r="K826" s="383"/>
      <c r="L826" s="955"/>
      <c r="M826" s="955"/>
      <c r="N826" s="983">
        <v>0</v>
      </c>
      <c r="O826" s="981"/>
      <c r="P826" s="772"/>
      <c r="Q826" s="812"/>
      <c r="R826" s="953"/>
    </row>
    <row r="827" spans="1:18" s="440" customFormat="1" ht="36" customHeight="1">
      <c r="A827" s="984"/>
      <c r="B827" s="972"/>
      <c r="C827" s="450"/>
      <c r="D827" s="438"/>
      <c r="E827" s="954" t="s">
        <v>438</v>
      </c>
      <c r="F827" s="985"/>
      <c r="G827" s="973"/>
      <c r="H827" s="973"/>
      <c r="I827" s="973"/>
      <c r="J827" s="973"/>
      <c r="K827" s="383"/>
      <c r="L827" s="955"/>
      <c r="M827" s="955"/>
      <c r="N827" s="983">
        <v>0</v>
      </c>
      <c r="O827" s="981"/>
      <c r="P827" s="772"/>
      <c r="Q827" s="812"/>
      <c r="R827" s="953"/>
    </row>
    <row r="828" spans="1:18" s="440" customFormat="1" ht="36" customHeight="1">
      <c r="A828" s="984"/>
      <c r="B828" s="972"/>
      <c r="C828" s="450"/>
      <c r="D828" s="438"/>
      <c r="E828" s="954" t="s">
        <v>481</v>
      </c>
      <c r="F828" s="985"/>
      <c r="G828" s="973"/>
      <c r="H828" s="973"/>
      <c r="I828" s="973"/>
      <c r="J828" s="973"/>
      <c r="K828" s="383"/>
      <c r="L828" s="955"/>
      <c r="M828" s="955"/>
      <c r="N828" s="983">
        <v>0</v>
      </c>
      <c r="O828" s="981"/>
      <c r="P828" s="772"/>
      <c r="Q828" s="812"/>
      <c r="R828" s="953"/>
    </row>
    <row r="829" spans="1:18" s="440" customFormat="1" ht="36" customHeight="1">
      <c r="A829" s="984"/>
      <c r="B829" s="972"/>
      <c r="C829" s="450"/>
      <c r="D829" s="438"/>
      <c r="E829" s="954" t="s">
        <v>439</v>
      </c>
      <c r="F829" s="985"/>
      <c r="G829" s="973"/>
      <c r="H829" s="973"/>
      <c r="I829" s="973"/>
      <c r="J829" s="973"/>
      <c r="K829" s="383"/>
      <c r="L829" s="955"/>
      <c r="M829" s="955"/>
      <c r="N829" s="983">
        <v>0</v>
      </c>
      <c r="O829" s="981"/>
      <c r="P829" s="772"/>
      <c r="Q829" s="812"/>
      <c r="R829" s="953"/>
    </row>
    <row r="830" spans="1:18" s="440" customFormat="1" ht="36" customHeight="1">
      <c r="A830" s="984"/>
      <c r="B830" s="972"/>
      <c r="C830" s="450"/>
      <c r="D830" s="438"/>
      <c r="E830" s="954" t="s">
        <v>440</v>
      </c>
      <c r="F830" s="985"/>
      <c r="G830" s="973"/>
      <c r="H830" s="973"/>
      <c r="I830" s="973"/>
      <c r="J830" s="973"/>
      <c r="K830" s="383"/>
      <c r="L830" s="955"/>
      <c r="M830" s="955"/>
      <c r="N830" s="983">
        <v>0</v>
      </c>
      <c r="O830" s="981"/>
      <c r="P830" s="772"/>
      <c r="Q830" s="812"/>
      <c r="R830" s="953"/>
    </row>
    <row r="831" spans="1:18" s="440" customFormat="1" ht="36" customHeight="1">
      <c r="A831" s="984"/>
      <c r="B831" s="972"/>
      <c r="C831" s="450"/>
      <c r="D831" s="438"/>
      <c r="E831" s="954" t="s">
        <v>441</v>
      </c>
      <c r="F831" s="985"/>
      <c r="G831" s="973"/>
      <c r="H831" s="973"/>
      <c r="I831" s="973"/>
      <c r="J831" s="973"/>
      <c r="K831" s="383"/>
      <c r="L831" s="955"/>
      <c r="M831" s="955"/>
      <c r="N831" s="983">
        <v>0</v>
      </c>
      <c r="O831" s="981"/>
      <c r="P831" s="772"/>
      <c r="Q831" s="812"/>
      <c r="R831" s="953"/>
    </row>
    <row r="832" spans="1:18" s="440" customFormat="1" ht="57" customHeight="1">
      <c r="A832" s="984"/>
      <c r="B832" s="972"/>
      <c r="C832" s="450"/>
      <c r="D832" s="438"/>
      <c r="E832" s="954" t="s">
        <v>551</v>
      </c>
      <c r="F832" s="985"/>
      <c r="G832" s="973"/>
      <c r="H832" s="973"/>
      <c r="I832" s="973"/>
      <c r="J832" s="973"/>
      <c r="K832" s="383"/>
      <c r="L832" s="955"/>
      <c r="M832" s="955"/>
      <c r="N832" s="983">
        <v>105610.5</v>
      </c>
      <c r="O832" s="981"/>
      <c r="P832" s="772"/>
      <c r="Q832" s="812"/>
      <c r="R832" s="953"/>
    </row>
    <row r="833" spans="1:18" s="440" customFormat="1" ht="36" customHeight="1">
      <c r="A833" s="984"/>
      <c r="B833" s="972"/>
      <c r="C833" s="450"/>
      <c r="D833" s="438"/>
      <c r="E833" s="954" t="s">
        <v>442</v>
      </c>
      <c r="F833" s="985"/>
      <c r="G833" s="973"/>
      <c r="H833" s="973"/>
      <c r="I833" s="973"/>
      <c r="J833" s="973"/>
      <c r="K833" s="383"/>
      <c r="L833" s="955"/>
      <c r="M833" s="955"/>
      <c r="N833" s="983">
        <v>0</v>
      </c>
      <c r="O833" s="981"/>
      <c r="P833" s="772"/>
      <c r="Q833" s="812"/>
      <c r="R833" s="953"/>
    </row>
    <row r="834" spans="1:18" s="440" customFormat="1" ht="36" customHeight="1">
      <c r="A834" s="984"/>
      <c r="B834" s="972"/>
      <c r="C834" s="450"/>
      <c r="D834" s="438"/>
      <c r="E834" s="954" t="s">
        <v>443</v>
      </c>
      <c r="F834" s="985"/>
      <c r="G834" s="973"/>
      <c r="H834" s="973"/>
      <c r="I834" s="973"/>
      <c r="J834" s="973"/>
      <c r="K834" s="383"/>
      <c r="L834" s="955"/>
      <c r="M834" s="955"/>
      <c r="N834" s="983">
        <v>15490.54</v>
      </c>
      <c r="O834" s="981"/>
      <c r="P834" s="772"/>
      <c r="Q834" s="812"/>
      <c r="R834" s="953"/>
    </row>
    <row r="835" spans="1:18" s="440" customFormat="1" ht="36" customHeight="1">
      <c r="A835" s="984"/>
      <c r="B835" s="972"/>
      <c r="C835" s="450"/>
      <c r="D835" s="438"/>
      <c r="E835" s="954" t="s">
        <v>482</v>
      </c>
      <c r="F835" s="985"/>
      <c r="G835" s="973"/>
      <c r="H835" s="973"/>
      <c r="I835" s="973"/>
      <c r="J835" s="973"/>
      <c r="K835" s="383"/>
      <c r="L835" s="955"/>
      <c r="M835" s="955"/>
      <c r="N835" s="983">
        <v>0</v>
      </c>
      <c r="O835" s="981"/>
      <c r="P835" s="772"/>
      <c r="Q835" s="812"/>
      <c r="R835" s="953"/>
    </row>
    <row r="836" spans="1:18" s="440" customFormat="1" ht="36" customHeight="1">
      <c r="A836" s="984"/>
      <c r="B836" s="972"/>
      <c r="C836" s="450"/>
      <c r="D836" s="438"/>
      <c r="E836" s="954" t="s">
        <v>589</v>
      </c>
      <c r="F836" s="985"/>
      <c r="G836" s="973"/>
      <c r="H836" s="973"/>
      <c r="I836" s="973"/>
      <c r="J836" s="973"/>
      <c r="K836" s="383"/>
      <c r="L836" s="955"/>
      <c r="M836" s="955"/>
      <c r="N836" s="983">
        <v>3600</v>
      </c>
      <c r="O836" s="981"/>
      <c r="P836" s="772"/>
      <c r="Q836" s="812"/>
      <c r="R836" s="953"/>
    </row>
    <row r="837" spans="1:18" s="440" customFormat="1" ht="36" customHeight="1">
      <c r="A837" s="984"/>
      <c r="B837" s="972"/>
      <c r="C837" s="450"/>
      <c r="D837" s="438"/>
      <c r="E837" s="954" t="s">
        <v>446</v>
      </c>
      <c r="F837" s="985"/>
      <c r="G837" s="973"/>
      <c r="H837" s="973"/>
      <c r="I837" s="973"/>
      <c r="J837" s="973"/>
      <c r="K837" s="383"/>
      <c r="L837" s="955"/>
      <c r="M837" s="955"/>
      <c r="N837" s="983">
        <v>22991.63</v>
      </c>
      <c r="O837" s="981"/>
      <c r="P837" s="772"/>
      <c r="Q837" s="812"/>
      <c r="R837" s="953"/>
    </row>
    <row r="838" spans="1:18" s="440" customFormat="1" ht="58.5" customHeight="1">
      <c r="A838" s="984"/>
      <c r="B838" s="972"/>
      <c r="C838" s="986"/>
      <c r="D838" s="438"/>
      <c r="E838" s="945" t="s">
        <v>418</v>
      </c>
      <c r="F838" s="949">
        <v>117300</v>
      </c>
      <c r="G838" s="949">
        <v>111778</v>
      </c>
      <c r="H838" s="949">
        <v>74715.13</v>
      </c>
      <c r="I838" s="973"/>
      <c r="J838" s="973"/>
      <c r="K838" s="529"/>
      <c r="L838" s="949">
        <v>407000</v>
      </c>
      <c r="M838" s="949">
        <v>407000</v>
      </c>
      <c r="N838" s="977">
        <f>SUM(N839:N859)</f>
        <v>160117.13999999998</v>
      </c>
      <c r="O838" s="978">
        <f>N838/M838</f>
        <v>0.39340820638820634</v>
      </c>
      <c r="P838" s="772" t="s">
        <v>395</v>
      </c>
      <c r="Q838" s="812"/>
      <c r="R838" s="953"/>
    </row>
    <row r="839" spans="1:18" s="440" customFormat="1" ht="83.25" customHeight="1">
      <c r="A839" s="984"/>
      <c r="B839" s="972"/>
      <c r="C839" s="986"/>
      <c r="D839" s="438"/>
      <c r="E839" s="957" t="s">
        <v>447</v>
      </c>
      <c r="F839" s="958"/>
      <c r="G839" s="958"/>
      <c r="H839" s="958">
        <v>0</v>
      </c>
      <c r="I839" s="973"/>
      <c r="J839" s="973"/>
      <c r="K839" s="529"/>
      <c r="L839" s="958"/>
      <c r="M839" s="958"/>
      <c r="N839" s="983">
        <v>1571.27</v>
      </c>
      <c r="O839" s="981"/>
      <c r="P839" s="1303"/>
      <c r="Q839" s="1304"/>
      <c r="R839" s="1305"/>
    </row>
    <row r="840" spans="1:18" s="440" customFormat="1" ht="36" customHeight="1">
      <c r="A840" s="984"/>
      <c r="B840" s="972"/>
      <c r="C840" s="986"/>
      <c r="D840" s="438"/>
      <c r="E840" s="957" t="s">
        <v>448</v>
      </c>
      <c r="F840" s="958"/>
      <c r="G840" s="958"/>
      <c r="H840" s="958">
        <v>0</v>
      </c>
      <c r="I840" s="973"/>
      <c r="J840" s="973"/>
      <c r="K840" s="529"/>
      <c r="L840" s="958"/>
      <c r="M840" s="958"/>
      <c r="N840" s="983">
        <v>0</v>
      </c>
      <c r="O840" s="981"/>
      <c r="P840" s="772"/>
      <c r="Q840" s="812"/>
      <c r="R840" s="953"/>
    </row>
    <row r="841" spans="1:18" s="440" customFormat="1" ht="36" customHeight="1">
      <c r="A841" s="984"/>
      <c r="B841" s="972"/>
      <c r="C841" s="986"/>
      <c r="D841" s="438"/>
      <c r="E841" s="957" t="s">
        <v>449</v>
      </c>
      <c r="F841" s="958"/>
      <c r="G841" s="958"/>
      <c r="H841" s="958">
        <v>0</v>
      </c>
      <c r="I841" s="973"/>
      <c r="J841" s="973"/>
      <c r="K841" s="529"/>
      <c r="L841" s="958"/>
      <c r="M841" s="958"/>
      <c r="N841" s="983">
        <v>0</v>
      </c>
      <c r="O841" s="981"/>
      <c r="P841" s="772"/>
      <c r="Q841" s="812"/>
      <c r="R841" s="953"/>
    </row>
    <row r="842" spans="1:18" s="440" customFormat="1" ht="36" customHeight="1">
      <c r="A842" s="984"/>
      <c r="B842" s="972"/>
      <c r="C842" s="986"/>
      <c r="D842" s="438"/>
      <c r="E842" s="957" t="s">
        <v>450</v>
      </c>
      <c r="F842" s="958"/>
      <c r="G842" s="958"/>
      <c r="H842" s="958">
        <v>0</v>
      </c>
      <c r="I842" s="973"/>
      <c r="J842" s="973"/>
      <c r="K842" s="529"/>
      <c r="L842" s="958"/>
      <c r="M842" s="958"/>
      <c r="N842" s="983">
        <v>0</v>
      </c>
      <c r="O842" s="981"/>
      <c r="P842" s="772"/>
      <c r="Q842" s="812"/>
      <c r="R842" s="953"/>
    </row>
    <row r="843" spans="1:18" s="440" customFormat="1" ht="36" customHeight="1">
      <c r="A843" s="984"/>
      <c r="B843" s="972"/>
      <c r="C843" s="986"/>
      <c r="D843" s="438"/>
      <c r="E843" s="957" t="s">
        <v>451</v>
      </c>
      <c r="F843" s="958"/>
      <c r="G843" s="958"/>
      <c r="H843" s="958">
        <v>0</v>
      </c>
      <c r="I843" s="973"/>
      <c r="J843" s="973"/>
      <c r="K843" s="529"/>
      <c r="L843" s="958"/>
      <c r="M843" s="958"/>
      <c r="N843" s="983">
        <v>0</v>
      </c>
      <c r="O843" s="981"/>
      <c r="P843" s="772"/>
      <c r="Q843" s="812"/>
      <c r="R843" s="953"/>
    </row>
    <row r="844" spans="1:18" s="440" customFormat="1" ht="38.25" customHeight="1">
      <c r="A844" s="984"/>
      <c r="B844" s="972"/>
      <c r="C844" s="986"/>
      <c r="D844" s="438"/>
      <c r="E844" s="960" t="s">
        <v>483</v>
      </c>
      <c r="F844" s="958"/>
      <c r="G844" s="958"/>
      <c r="H844" s="958">
        <v>4300</v>
      </c>
      <c r="I844" s="973"/>
      <c r="J844" s="973"/>
      <c r="K844" s="529"/>
      <c r="L844" s="958"/>
      <c r="M844" s="958"/>
      <c r="N844" s="983">
        <v>0</v>
      </c>
      <c r="O844" s="981"/>
      <c r="P844" s="772"/>
      <c r="Q844" s="812"/>
      <c r="R844" s="953"/>
    </row>
    <row r="845" spans="1:18" s="440" customFormat="1" ht="84" customHeight="1">
      <c r="A845" s="984"/>
      <c r="B845" s="972"/>
      <c r="C845" s="986"/>
      <c r="D845" s="438"/>
      <c r="E845" s="957" t="s">
        <v>452</v>
      </c>
      <c r="F845" s="958"/>
      <c r="G845" s="958"/>
      <c r="H845" s="958">
        <v>0</v>
      </c>
      <c r="I845" s="973"/>
      <c r="J845" s="973"/>
      <c r="K845" s="529"/>
      <c r="L845" s="958"/>
      <c r="M845" s="958"/>
      <c r="N845" s="983">
        <v>0</v>
      </c>
      <c r="O845" s="981"/>
      <c r="P845" s="772"/>
      <c r="Q845" s="812"/>
      <c r="R845" s="953"/>
    </row>
    <row r="846" spans="1:18" s="440" customFormat="1" ht="54.75" customHeight="1">
      <c r="A846" s="984"/>
      <c r="B846" s="972"/>
      <c r="C846" s="986"/>
      <c r="D846" s="438"/>
      <c r="E846" s="957" t="s">
        <v>453</v>
      </c>
      <c r="F846" s="958"/>
      <c r="G846" s="958"/>
      <c r="H846" s="958">
        <v>0</v>
      </c>
      <c r="I846" s="973"/>
      <c r="J846" s="973"/>
      <c r="K846" s="529"/>
      <c r="L846" s="958"/>
      <c r="M846" s="958"/>
      <c r="N846" s="983">
        <v>0</v>
      </c>
      <c r="O846" s="981"/>
      <c r="P846" s="772"/>
      <c r="Q846" s="812"/>
      <c r="R846" s="953"/>
    </row>
    <row r="847" spans="1:18" s="440" customFormat="1" ht="36" customHeight="1">
      <c r="A847" s="984"/>
      <c r="B847" s="972"/>
      <c r="C847" s="986"/>
      <c r="D847" s="438"/>
      <c r="E847" s="957" t="s">
        <v>454</v>
      </c>
      <c r="F847" s="958"/>
      <c r="G847" s="958"/>
      <c r="H847" s="958">
        <v>0</v>
      </c>
      <c r="I847" s="973"/>
      <c r="J847" s="973"/>
      <c r="K847" s="529"/>
      <c r="L847" s="958"/>
      <c r="M847" s="958"/>
      <c r="N847" s="983">
        <v>3298.06</v>
      </c>
      <c r="O847" s="981"/>
      <c r="P847" s="772"/>
      <c r="Q847" s="812"/>
      <c r="R847" s="953"/>
    </row>
    <row r="848" spans="1:18" s="440" customFormat="1" ht="54.75" customHeight="1">
      <c r="A848" s="984"/>
      <c r="B848" s="972"/>
      <c r="C848" s="986"/>
      <c r="D848" s="438"/>
      <c r="E848" s="957" t="s">
        <v>455</v>
      </c>
      <c r="F848" s="958"/>
      <c r="G848" s="958"/>
      <c r="H848" s="958">
        <v>0</v>
      </c>
      <c r="I848" s="973"/>
      <c r="J848" s="973"/>
      <c r="K848" s="529"/>
      <c r="L848" s="958"/>
      <c r="M848" s="958"/>
      <c r="N848" s="983">
        <v>0</v>
      </c>
      <c r="O848" s="981"/>
      <c r="P848" s="772"/>
      <c r="Q848" s="812"/>
      <c r="R848" s="953"/>
    </row>
    <row r="849" spans="1:18" s="440" customFormat="1" ht="36" customHeight="1">
      <c r="A849" s="984"/>
      <c r="B849" s="972"/>
      <c r="C849" s="986"/>
      <c r="D849" s="438"/>
      <c r="E849" s="957" t="s">
        <v>456</v>
      </c>
      <c r="F849" s="958"/>
      <c r="G849" s="958"/>
      <c r="H849" s="958">
        <v>0</v>
      </c>
      <c r="I849" s="973"/>
      <c r="J849" s="973"/>
      <c r="K849" s="529"/>
      <c r="L849" s="958"/>
      <c r="M849" s="958"/>
      <c r="N849" s="983">
        <v>0</v>
      </c>
      <c r="O849" s="981"/>
      <c r="P849" s="772"/>
      <c r="Q849" s="812"/>
      <c r="R849" s="953"/>
    </row>
    <row r="850" spans="1:18" s="440" customFormat="1" ht="54.75" customHeight="1">
      <c r="A850" s="984"/>
      <c r="B850" s="972"/>
      <c r="C850" s="986"/>
      <c r="D850" s="438"/>
      <c r="E850" s="957" t="s">
        <v>457</v>
      </c>
      <c r="F850" s="958"/>
      <c r="G850" s="958"/>
      <c r="H850" s="958">
        <v>0</v>
      </c>
      <c r="I850" s="973"/>
      <c r="J850" s="973"/>
      <c r="K850" s="529"/>
      <c r="L850" s="958"/>
      <c r="M850" s="958"/>
      <c r="N850" s="983">
        <v>0</v>
      </c>
      <c r="O850" s="981"/>
      <c r="P850" s="772"/>
      <c r="Q850" s="812"/>
      <c r="R850" s="953"/>
    </row>
    <row r="851" spans="1:18" s="440" customFormat="1" ht="36" customHeight="1">
      <c r="A851" s="984"/>
      <c r="B851" s="972"/>
      <c r="C851" s="986"/>
      <c r="D851" s="438"/>
      <c r="E851" s="957" t="s">
        <v>458</v>
      </c>
      <c r="F851" s="961"/>
      <c r="G851" s="961"/>
      <c r="H851" s="958">
        <v>32231.32</v>
      </c>
      <c r="I851" s="973"/>
      <c r="J851" s="973"/>
      <c r="K851" s="529"/>
      <c r="L851" s="961"/>
      <c r="M851" s="961"/>
      <c r="N851" s="983">
        <v>0</v>
      </c>
      <c r="O851" s="981"/>
      <c r="P851" s="772"/>
      <c r="Q851" s="812"/>
      <c r="R851" s="953"/>
    </row>
    <row r="852" spans="1:18" s="440" customFormat="1" ht="36" customHeight="1">
      <c r="A852" s="984"/>
      <c r="B852" s="972"/>
      <c r="C852" s="986"/>
      <c r="D852" s="438"/>
      <c r="E852" s="957" t="s">
        <v>459</v>
      </c>
      <c r="F852" s="961"/>
      <c r="G852" s="961"/>
      <c r="H852" s="958">
        <v>0</v>
      </c>
      <c r="I852" s="973"/>
      <c r="J852" s="973"/>
      <c r="K852" s="529"/>
      <c r="L852" s="961"/>
      <c r="M852" s="961"/>
      <c r="N852" s="983">
        <v>1377</v>
      </c>
      <c r="O852" s="981"/>
      <c r="P852" s="772"/>
      <c r="Q852" s="812"/>
      <c r="R852" s="953"/>
    </row>
    <row r="853" spans="1:18" s="440" customFormat="1" ht="36" customHeight="1">
      <c r="A853" s="984"/>
      <c r="B853" s="972"/>
      <c r="C853" s="986"/>
      <c r="D853" s="438"/>
      <c r="E853" s="957" t="s">
        <v>460</v>
      </c>
      <c r="F853" s="961"/>
      <c r="G853" s="961"/>
      <c r="H853" s="958">
        <v>692</v>
      </c>
      <c r="I853" s="973"/>
      <c r="J853" s="973"/>
      <c r="K853" s="529"/>
      <c r="L853" s="961"/>
      <c r="M853" s="961"/>
      <c r="N853" s="983">
        <v>0</v>
      </c>
      <c r="O853" s="981"/>
      <c r="P853" s="772"/>
      <c r="Q853" s="812"/>
      <c r="R853" s="953"/>
    </row>
    <row r="854" spans="1:18" s="440" customFormat="1" ht="36" customHeight="1">
      <c r="A854" s="984"/>
      <c r="B854" s="972"/>
      <c r="C854" s="986"/>
      <c r="D854" s="438"/>
      <c r="E854" s="957" t="s">
        <v>461</v>
      </c>
      <c r="F854" s="961"/>
      <c r="G854" s="961"/>
      <c r="H854" s="958">
        <v>35817</v>
      </c>
      <c r="I854" s="973"/>
      <c r="J854" s="973"/>
      <c r="K854" s="529"/>
      <c r="L854" s="961"/>
      <c r="M854" s="961"/>
      <c r="N854" s="983">
        <v>6616</v>
      </c>
      <c r="O854" s="981"/>
      <c r="P854" s="772"/>
      <c r="Q854" s="812"/>
      <c r="R854" s="953"/>
    </row>
    <row r="855" spans="1:18" s="440" customFormat="1" ht="36" customHeight="1">
      <c r="A855" s="984"/>
      <c r="B855" s="972"/>
      <c r="C855" s="986"/>
      <c r="D855" s="438"/>
      <c r="E855" s="957" t="s">
        <v>462</v>
      </c>
      <c r="F855" s="961"/>
      <c r="G855" s="961"/>
      <c r="H855" s="958">
        <v>0</v>
      </c>
      <c r="I855" s="973"/>
      <c r="J855" s="973"/>
      <c r="K855" s="529"/>
      <c r="L855" s="961"/>
      <c r="M855" s="961"/>
      <c r="N855" s="983">
        <v>147254.81</v>
      </c>
      <c r="O855" s="981"/>
      <c r="P855" s="772"/>
      <c r="Q855" s="812"/>
      <c r="R855" s="953"/>
    </row>
    <row r="856" spans="1:18" s="440" customFormat="1" ht="61.5" customHeight="1">
      <c r="A856" s="984"/>
      <c r="B856" s="972"/>
      <c r="C856" s="986"/>
      <c r="D856" s="438"/>
      <c r="E856" s="957" t="s">
        <v>463</v>
      </c>
      <c r="F856" s="961"/>
      <c r="G856" s="961"/>
      <c r="H856" s="958">
        <v>0</v>
      </c>
      <c r="I856" s="973"/>
      <c r="J856" s="973"/>
      <c r="K856" s="529"/>
      <c r="L856" s="961"/>
      <c r="M856" s="961"/>
      <c r="N856" s="983">
        <v>0</v>
      </c>
      <c r="O856" s="981"/>
      <c r="P856" s="772"/>
      <c r="Q856" s="812"/>
      <c r="R856" s="953"/>
    </row>
    <row r="857" spans="1:18" s="440" customFormat="1" ht="36" customHeight="1">
      <c r="A857" s="984"/>
      <c r="B857" s="972"/>
      <c r="C857" s="986"/>
      <c r="D857" s="438"/>
      <c r="E857" s="957" t="s">
        <v>464</v>
      </c>
      <c r="F857" s="961"/>
      <c r="G857" s="961"/>
      <c r="H857" s="958">
        <v>0</v>
      </c>
      <c r="I857" s="973"/>
      <c r="J857" s="973"/>
      <c r="K857" s="529"/>
      <c r="L857" s="961"/>
      <c r="M857" s="961"/>
      <c r="N857" s="983">
        <v>0</v>
      </c>
      <c r="O857" s="981"/>
      <c r="P857" s="772"/>
      <c r="Q857" s="812"/>
      <c r="R857" s="953"/>
    </row>
    <row r="858" spans="1:18" s="440" customFormat="1" ht="36" customHeight="1">
      <c r="A858" s="984"/>
      <c r="B858" s="972"/>
      <c r="C858" s="986"/>
      <c r="D858" s="438"/>
      <c r="E858" s="957" t="s">
        <v>465</v>
      </c>
      <c r="F858" s="961"/>
      <c r="G858" s="961"/>
      <c r="H858" s="958">
        <v>0</v>
      </c>
      <c r="I858" s="973"/>
      <c r="J858" s="973"/>
      <c r="K858" s="529"/>
      <c r="L858" s="961"/>
      <c r="M858" s="961"/>
      <c r="N858" s="983">
        <v>0</v>
      </c>
      <c r="O858" s="981"/>
      <c r="P858" s="772"/>
      <c r="Q858" s="812"/>
      <c r="R858" s="953"/>
    </row>
    <row r="859" spans="1:18" s="440" customFormat="1" ht="36" customHeight="1">
      <c r="A859" s="984"/>
      <c r="B859" s="972"/>
      <c r="C859" s="986"/>
      <c r="D859" s="438"/>
      <c r="E859" s="957" t="s">
        <v>466</v>
      </c>
      <c r="F859" s="961"/>
      <c r="G859" s="961"/>
      <c r="H859" s="958">
        <v>1674.81</v>
      </c>
      <c r="I859" s="973"/>
      <c r="J859" s="973"/>
      <c r="K859" s="529"/>
      <c r="L859" s="961"/>
      <c r="M859" s="961"/>
      <c r="N859" s="983">
        <v>0</v>
      </c>
      <c r="O859" s="981"/>
      <c r="P859" s="772"/>
      <c r="Q859" s="812"/>
      <c r="R859" s="953"/>
    </row>
    <row r="860" spans="1:18" s="440" customFormat="1" ht="57" customHeight="1">
      <c r="A860" s="984"/>
      <c r="B860" s="972"/>
      <c r="C860" s="986"/>
      <c r="D860" s="438"/>
      <c r="E860" s="945" t="s">
        <v>467</v>
      </c>
      <c r="F860" s="949">
        <v>117300</v>
      </c>
      <c r="G860" s="949">
        <v>111778</v>
      </c>
      <c r="H860" s="949">
        <v>74715.13</v>
      </c>
      <c r="I860" s="973"/>
      <c r="J860" s="973"/>
      <c r="K860" s="529"/>
      <c r="L860" s="949">
        <v>0</v>
      </c>
      <c r="M860" s="949">
        <v>0</v>
      </c>
      <c r="N860" s="949">
        <v>0</v>
      </c>
      <c r="O860" s="978">
        <v>0</v>
      </c>
      <c r="P860" s="772" t="s">
        <v>395</v>
      </c>
      <c r="Q860" s="812"/>
      <c r="R860" s="953"/>
    </row>
    <row r="861" spans="1:18" s="193" customFormat="1" ht="39.9" customHeight="1">
      <c r="A861" s="487"/>
      <c r="B861" s="173"/>
      <c r="C861" s="190" t="s">
        <v>52</v>
      </c>
      <c r="D861" s="189"/>
      <c r="E861" s="188" t="s">
        <v>51</v>
      </c>
      <c r="F861" s="187"/>
      <c r="G861" s="187"/>
      <c r="H861" s="187"/>
      <c r="I861" s="187"/>
      <c r="J861" s="187"/>
      <c r="K861" s="187">
        <f>K862+K905+K948+K991</f>
        <v>1415000</v>
      </c>
      <c r="L861" s="432">
        <f>L862+L905+L948+L991</f>
        <v>1415000</v>
      </c>
      <c r="M861" s="432">
        <f t="shared" ref="M861:N861" si="92">M862+M905+M948+M991</f>
        <v>1418000</v>
      </c>
      <c r="N861" s="432">
        <f t="shared" si="92"/>
        <v>631387.54999999993</v>
      </c>
      <c r="O861" s="819">
        <f>N861/M861</f>
        <v>0.4452662552891396</v>
      </c>
      <c r="P861" s="781" t="s">
        <v>395</v>
      </c>
      <c r="Q861" s="665"/>
    </row>
    <row r="862" spans="1:18" s="183" customFormat="1" ht="45" customHeight="1">
      <c r="A862" s="487"/>
      <c r="B862" s="173"/>
      <c r="C862" s="456">
        <v>1</v>
      </c>
      <c r="D862" s="444"/>
      <c r="E862" s="548" t="s">
        <v>282</v>
      </c>
      <c r="F862" s="549"/>
      <c r="G862" s="428"/>
      <c r="H862" s="428"/>
      <c r="I862" s="428"/>
      <c r="J862" s="421"/>
      <c r="K862" s="428">
        <v>284000</v>
      </c>
      <c r="L862" s="428">
        <f>L863+L882+L904</f>
        <v>284000</v>
      </c>
      <c r="M862" s="428">
        <f t="shared" ref="M862:N862" si="93">M863+M882+M904</f>
        <v>287000</v>
      </c>
      <c r="N862" s="428">
        <f t="shared" si="93"/>
        <v>119235.89</v>
      </c>
      <c r="O862" s="872">
        <f>N862/M862</f>
        <v>0.41545606271777002</v>
      </c>
      <c r="P862" s="782" t="s">
        <v>395</v>
      </c>
      <c r="Q862" s="667"/>
    </row>
    <row r="863" spans="1:18" s="431" customFormat="1" ht="39.9" customHeight="1">
      <c r="A863" s="429"/>
      <c r="B863" s="944"/>
      <c r="C863" s="458"/>
      <c r="D863" s="444"/>
      <c r="E863" s="945" t="s">
        <v>412</v>
      </c>
      <c r="F863" s="965"/>
      <c r="G863" s="946"/>
      <c r="H863" s="946"/>
      <c r="I863" s="946"/>
      <c r="J863" s="947"/>
      <c r="K863" s="948"/>
      <c r="L863" s="949">
        <v>140000</v>
      </c>
      <c r="M863" s="949">
        <v>140000</v>
      </c>
      <c r="N863" s="956">
        <f>SUM(N865:N881)</f>
        <v>68347.75</v>
      </c>
      <c r="O863" s="890">
        <f>N863/M863</f>
        <v>0.4881982142857143</v>
      </c>
      <c r="P863" s="780" t="s">
        <v>395</v>
      </c>
      <c r="Q863" s="908"/>
      <c r="R863" s="951"/>
    </row>
    <row r="864" spans="1:18" s="440" customFormat="1" ht="34.5" customHeight="1">
      <c r="A864" s="424"/>
      <c r="B864" s="706"/>
      <c r="C864" s="450"/>
      <c r="D864" s="438"/>
      <c r="E864" s="952" t="s">
        <v>13</v>
      </c>
      <c r="F864" s="519"/>
      <c r="G864" s="734"/>
      <c r="H864" s="734"/>
      <c r="I864" s="734"/>
      <c r="J864" s="734"/>
      <c r="K864" s="383"/>
      <c r="L864" s="699"/>
      <c r="M864" s="699"/>
      <c r="N864" s="699"/>
      <c r="O864" s="839"/>
      <c r="P864" s="772"/>
      <c r="Q864" s="812"/>
      <c r="R864" s="953"/>
    </row>
    <row r="865" spans="1:18" s="440" customFormat="1" ht="36" customHeight="1">
      <c r="A865" s="424"/>
      <c r="B865" s="706"/>
      <c r="C865" s="450"/>
      <c r="D865" s="425"/>
      <c r="E865" s="954" t="s">
        <v>477</v>
      </c>
      <c r="F865" s="519"/>
      <c r="G865" s="734"/>
      <c r="H865" s="734"/>
      <c r="I865" s="734"/>
      <c r="J865" s="734"/>
      <c r="K865" s="383"/>
      <c r="L865" s="955"/>
      <c r="M865" s="955"/>
      <c r="N865" s="959">
        <v>0</v>
      </c>
      <c r="O865" s="839"/>
      <c r="P865" s="772"/>
      <c r="Q865" s="812"/>
      <c r="R865" s="953"/>
    </row>
    <row r="866" spans="1:18" s="440" customFormat="1" ht="57" customHeight="1">
      <c r="A866" s="424"/>
      <c r="B866" s="706"/>
      <c r="C866" s="450"/>
      <c r="D866" s="438"/>
      <c r="E866" s="954" t="s">
        <v>478</v>
      </c>
      <c r="F866" s="519"/>
      <c r="G866" s="734"/>
      <c r="H866" s="734"/>
      <c r="I866" s="734"/>
      <c r="J866" s="734"/>
      <c r="K866" s="383"/>
      <c r="L866" s="955"/>
      <c r="M866" s="955"/>
      <c r="N866" s="959">
        <v>0</v>
      </c>
      <c r="O866" s="839"/>
      <c r="P866" s="772"/>
      <c r="Q866" s="812"/>
      <c r="R866" s="953"/>
    </row>
    <row r="867" spans="1:18" s="440" customFormat="1" ht="36" customHeight="1">
      <c r="A867" s="424"/>
      <c r="B867" s="706"/>
      <c r="C867" s="450"/>
      <c r="D867" s="438"/>
      <c r="E867" s="954" t="s">
        <v>479</v>
      </c>
      <c r="F867" s="519"/>
      <c r="G867" s="734"/>
      <c r="H867" s="734"/>
      <c r="I867" s="734"/>
      <c r="J867" s="734"/>
      <c r="K867" s="383"/>
      <c r="L867" s="955"/>
      <c r="M867" s="955"/>
      <c r="N867" s="959">
        <v>0</v>
      </c>
      <c r="O867" s="839"/>
      <c r="P867" s="772"/>
      <c r="Q867" s="812"/>
      <c r="R867" s="953"/>
    </row>
    <row r="868" spans="1:18" s="440" customFormat="1" ht="36" customHeight="1">
      <c r="A868" s="424"/>
      <c r="B868" s="706"/>
      <c r="C868" s="450"/>
      <c r="D868" s="438"/>
      <c r="E868" s="954" t="s">
        <v>480</v>
      </c>
      <c r="F868" s="519"/>
      <c r="G868" s="734"/>
      <c r="H868" s="734"/>
      <c r="I868" s="734"/>
      <c r="J868" s="734"/>
      <c r="K868" s="383"/>
      <c r="L868" s="955"/>
      <c r="M868" s="955"/>
      <c r="N868" s="959">
        <v>0</v>
      </c>
      <c r="O868" s="839"/>
      <c r="P868" s="772"/>
      <c r="Q868" s="812"/>
      <c r="R868" s="953"/>
    </row>
    <row r="869" spans="1:18" s="440" customFormat="1" ht="36" customHeight="1">
      <c r="A869" s="424"/>
      <c r="B869" s="706"/>
      <c r="C869" s="450"/>
      <c r="D869" s="438"/>
      <c r="E869" s="954" t="s">
        <v>436</v>
      </c>
      <c r="F869" s="519"/>
      <c r="G869" s="734"/>
      <c r="H869" s="734"/>
      <c r="I869" s="734"/>
      <c r="J869" s="734"/>
      <c r="K869" s="383"/>
      <c r="L869" s="955"/>
      <c r="M869" s="955"/>
      <c r="N869" s="959">
        <v>0</v>
      </c>
      <c r="O869" s="839"/>
      <c r="P869" s="772"/>
      <c r="Q869" s="812"/>
      <c r="R869" s="953"/>
    </row>
    <row r="870" spans="1:18" s="440" customFormat="1" ht="36" customHeight="1">
      <c r="A870" s="424"/>
      <c r="B870" s="706"/>
      <c r="C870" s="450"/>
      <c r="D870" s="438"/>
      <c r="E870" s="954" t="s">
        <v>437</v>
      </c>
      <c r="F870" s="519"/>
      <c r="G870" s="734"/>
      <c r="H870" s="734"/>
      <c r="I870" s="734"/>
      <c r="J870" s="734"/>
      <c r="K870" s="383"/>
      <c r="L870" s="955"/>
      <c r="M870" s="955"/>
      <c r="N870" s="959">
        <v>0</v>
      </c>
      <c r="O870" s="839"/>
      <c r="P870" s="772"/>
      <c r="Q870" s="812"/>
      <c r="R870" s="953"/>
    </row>
    <row r="871" spans="1:18" s="440" customFormat="1" ht="36" customHeight="1">
      <c r="A871" s="424"/>
      <c r="B871" s="706"/>
      <c r="C871" s="450"/>
      <c r="D871" s="438"/>
      <c r="E871" s="954" t="s">
        <v>438</v>
      </c>
      <c r="F871" s="519"/>
      <c r="G871" s="734"/>
      <c r="H871" s="734"/>
      <c r="I871" s="734"/>
      <c r="J871" s="734"/>
      <c r="K871" s="383"/>
      <c r="L871" s="955"/>
      <c r="M871" s="955"/>
      <c r="N871" s="959">
        <v>0</v>
      </c>
      <c r="O871" s="839"/>
      <c r="P871" s="772"/>
      <c r="Q871" s="812"/>
      <c r="R871" s="953"/>
    </row>
    <row r="872" spans="1:18" s="440" customFormat="1" ht="36" customHeight="1">
      <c r="A872" s="424"/>
      <c r="B872" s="706"/>
      <c r="C872" s="450"/>
      <c r="D872" s="438"/>
      <c r="E872" s="954" t="s">
        <v>481</v>
      </c>
      <c r="F872" s="519"/>
      <c r="G872" s="734"/>
      <c r="H872" s="734"/>
      <c r="I872" s="734"/>
      <c r="J872" s="734"/>
      <c r="K872" s="383"/>
      <c r="L872" s="955"/>
      <c r="M872" s="955"/>
      <c r="N872" s="959">
        <v>0</v>
      </c>
      <c r="O872" s="839"/>
      <c r="P872" s="772"/>
      <c r="Q872" s="812"/>
      <c r="R872" s="953"/>
    </row>
    <row r="873" spans="1:18" s="440" customFormat="1" ht="36" customHeight="1">
      <c r="A873" s="424"/>
      <c r="B873" s="706"/>
      <c r="C873" s="450"/>
      <c r="D873" s="438"/>
      <c r="E873" s="954" t="s">
        <v>439</v>
      </c>
      <c r="F873" s="519"/>
      <c r="G873" s="734"/>
      <c r="H873" s="734"/>
      <c r="I873" s="734"/>
      <c r="J873" s="734"/>
      <c r="K873" s="383"/>
      <c r="L873" s="955"/>
      <c r="M873" s="955"/>
      <c r="N873" s="959">
        <v>0</v>
      </c>
      <c r="O873" s="839"/>
      <c r="P873" s="772"/>
      <c r="Q873" s="812"/>
      <c r="R873" s="953"/>
    </row>
    <row r="874" spans="1:18" s="440" customFormat="1" ht="36" customHeight="1">
      <c r="A874" s="424"/>
      <c r="B874" s="706"/>
      <c r="C874" s="450"/>
      <c r="D874" s="438"/>
      <c r="E874" s="954" t="s">
        <v>440</v>
      </c>
      <c r="F874" s="519"/>
      <c r="G874" s="734"/>
      <c r="H874" s="734"/>
      <c r="I874" s="734"/>
      <c r="J874" s="734"/>
      <c r="K874" s="383"/>
      <c r="L874" s="955"/>
      <c r="M874" s="955"/>
      <c r="N874" s="959">
        <v>0</v>
      </c>
      <c r="O874" s="839"/>
      <c r="P874" s="772"/>
      <c r="Q874" s="812"/>
      <c r="R874" s="953"/>
    </row>
    <row r="875" spans="1:18" s="440" customFormat="1" ht="36" customHeight="1">
      <c r="A875" s="424"/>
      <c r="B875" s="706"/>
      <c r="C875" s="450"/>
      <c r="D875" s="438"/>
      <c r="E875" s="954" t="s">
        <v>441</v>
      </c>
      <c r="F875" s="519"/>
      <c r="G875" s="734"/>
      <c r="H875" s="734"/>
      <c r="I875" s="734"/>
      <c r="J875" s="734"/>
      <c r="K875" s="383"/>
      <c r="L875" s="955"/>
      <c r="M875" s="955"/>
      <c r="N875" s="959">
        <v>0</v>
      </c>
      <c r="O875" s="839"/>
      <c r="P875" s="772"/>
      <c r="Q875" s="812"/>
      <c r="R875" s="953"/>
    </row>
    <row r="876" spans="1:18" s="440" customFormat="1" ht="57" customHeight="1">
      <c r="A876" s="424"/>
      <c r="B876" s="706"/>
      <c r="C876" s="450"/>
      <c r="D876" s="438"/>
      <c r="E876" s="954" t="s">
        <v>484</v>
      </c>
      <c r="F876" s="519"/>
      <c r="G876" s="734"/>
      <c r="H876" s="734"/>
      <c r="I876" s="734"/>
      <c r="J876" s="734"/>
      <c r="K876" s="383"/>
      <c r="L876" s="955"/>
      <c r="M876" s="955"/>
      <c r="N876" s="959">
        <v>49502.16</v>
      </c>
      <c r="O876" s="839"/>
      <c r="P876" s="772"/>
      <c r="Q876" s="812"/>
      <c r="R876" s="953"/>
    </row>
    <row r="877" spans="1:18" s="440" customFormat="1" ht="41.4" customHeight="1">
      <c r="A877" s="424"/>
      <c r="B877" s="706"/>
      <c r="C877" s="450"/>
      <c r="D877" s="438"/>
      <c r="E877" s="954" t="s">
        <v>442</v>
      </c>
      <c r="F877" s="519"/>
      <c r="G877" s="734"/>
      <c r="H877" s="734"/>
      <c r="I877" s="734"/>
      <c r="J877" s="734"/>
      <c r="K877" s="383"/>
      <c r="L877" s="955"/>
      <c r="M877" s="955"/>
      <c r="N877" s="959">
        <v>0</v>
      </c>
      <c r="O877" s="839"/>
      <c r="P877" s="772"/>
      <c r="Q877" s="812"/>
      <c r="R877" s="953"/>
    </row>
    <row r="878" spans="1:18" s="440" customFormat="1" ht="41.4" customHeight="1">
      <c r="A878" s="424"/>
      <c r="B878" s="706"/>
      <c r="C878" s="450"/>
      <c r="D878" s="438"/>
      <c r="E878" s="954" t="s">
        <v>443</v>
      </c>
      <c r="F878" s="519"/>
      <c r="G878" s="734"/>
      <c r="H878" s="734"/>
      <c r="I878" s="734"/>
      <c r="J878" s="734"/>
      <c r="K878" s="383"/>
      <c r="L878" s="955"/>
      <c r="M878" s="955"/>
      <c r="N878" s="959">
        <v>9306.65</v>
      </c>
      <c r="O878" s="839"/>
      <c r="P878" s="772"/>
      <c r="Q878" s="812"/>
      <c r="R878" s="953"/>
    </row>
    <row r="879" spans="1:18" s="440" customFormat="1" ht="41.4" customHeight="1">
      <c r="A879" s="424"/>
      <c r="B879" s="706"/>
      <c r="C879" s="450"/>
      <c r="D879" s="438"/>
      <c r="E879" s="954" t="s">
        <v>482</v>
      </c>
      <c r="F879" s="519"/>
      <c r="G879" s="734"/>
      <c r="H879" s="734"/>
      <c r="I879" s="734"/>
      <c r="J879" s="734"/>
      <c r="K879" s="383"/>
      <c r="L879" s="955"/>
      <c r="M879" s="955"/>
      <c r="N879" s="959">
        <v>0</v>
      </c>
      <c r="O879" s="839"/>
      <c r="P879" s="772"/>
      <c r="Q879" s="812"/>
      <c r="R879" s="953"/>
    </row>
    <row r="880" spans="1:18" s="440" customFormat="1" ht="41.4" customHeight="1">
      <c r="A880" s="424"/>
      <c r="B880" s="706"/>
      <c r="C880" s="450"/>
      <c r="D880" s="438"/>
      <c r="E880" s="954" t="s">
        <v>445</v>
      </c>
      <c r="F880" s="519"/>
      <c r="G880" s="734"/>
      <c r="H880" s="734"/>
      <c r="I880" s="734"/>
      <c r="J880" s="734"/>
      <c r="K880" s="383"/>
      <c r="L880" s="955"/>
      <c r="M880" s="955"/>
      <c r="N880" s="959">
        <v>0</v>
      </c>
      <c r="O880" s="839"/>
      <c r="P880" s="772"/>
      <c r="Q880" s="812"/>
      <c r="R880" s="953"/>
    </row>
    <row r="881" spans="1:18" s="440" customFormat="1" ht="41.4" customHeight="1">
      <c r="A881" s="424"/>
      <c r="B881" s="706"/>
      <c r="C881" s="450"/>
      <c r="D881" s="438"/>
      <c r="E881" s="954" t="s">
        <v>446</v>
      </c>
      <c r="F881" s="519"/>
      <c r="G881" s="734"/>
      <c r="H881" s="734"/>
      <c r="I881" s="734"/>
      <c r="J881" s="734"/>
      <c r="K881" s="383"/>
      <c r="L881" s="955"/>
      <c r="M881" s="955"/>
      <c r="N881" s="959">
        <v>9538.94</v>
      </c>
      <c r="O881" s="839"/>
      <c r="P881" s="772"/>
      <c r="Q881" s="812"/>
      <c r="R881" s="953"/>
    </row>
    <row r="882" spans="1:18" s="440" customFormat="1" ht="57" customHeight="1">
      <c r="A882" s="424"/>
      <c r="B882" s="706"/>
      <c r="C882" s="489"/>
      <c r="D882" s="438"/>
      <c r="E882" s="945" t="s">
        <v>418</v>
      </c>
      <c r="F882" s="949">
        <v>117300</v>
      </c>
      <c r="G882" s="949">
        <v>111778</v>
      </c>
      <c r="H882" s="949">
        <v>74715.13</v>
      </c>
      <c r="I882" s="734"/>
      <c r="J882" s="734"/>
      <c r="K882" s="529"/>
      <c r="L882" s="949">
        <v>144000</v>
      </c>
      <c r="M882" s="949">
        <v>147000</v>
      </c>
      <c r="N882" s="956">
        <f>SUM(N883:N903)</f>
        <v>50888.14</v>
      </c>
      <c r="O882" s="890">
        <f>N882/M882</f>
        <v>0.34617782312925172</v>
      </c>
      <c r="P882" s="772" t="s">
        <v>395</v>
      </c>
      <c r="Q882" s="812" t="s">
        <v>395</v>
      </c>
      <c r="R882" s="953"/>
    </row>
    <row r="883" spans="1:18" s="440" customFormat="1" ht="83.25" customHeight="1">
      <c r="A883" s="424"/>
      <c r="B883" s="706"/>
      <c r="C883" s="489"/>
      <c r="D883" s="438"/>
      <c r="E883" s="957" t="s">
        <v>447</v>
      </c>
      <c r="F883" s="958"/>
      <c r="G883" s="958"/>
      <c r="H883" s="958">
        <v>0</v>
      </c>
      <c r="I883" s="734"/>
      <c r="J883" s="734"/>
      <c r="K883" s="529"/>
      <c r="L883" s="958"/>
      <c r="M883" s="958"/>
      <c r="N883" s="959">
        <v>0</v>
      </c>
      <c r="O883" s="839"/>
      <c r="P883" s="772"/>
      <c r="Q883" s="812"/>
      <c r="R883" s="953"/>
    </row>
    <row r="884" spans="1:18" s="440" customFormat="1" ht="36" customHeight="1">
      <c r="A884" s="424"/>
      <c r="B884" s="706"/>
      <c r="C884" s="489"/>
      <c r="D884" s="438"/>
      <c r="E884" s="957" t="s">
        <v>448</v>
      </c>
      <c r="F884" s="958"/>
      <c r="G884" s="958"/>
      <c r="H884" s="958">
        <v>0</v>
      </c>
      <c r="I884" s="734"/>
      <c r="J884" s="734"/>
      <c r="K884" s="529"/>
      <c r="L884" s="958"/>
      <c r="M884" s="958"/>
      <c r="N884" s="959">
        <v>0</v>
      </c>
      <c r="O884" s="839"/>
      <c r="P884" s="772"/>
      <c r="Q884" s="812"/>
      <c r="R884" s="953"/>
    </row>
    <row r="885" spans="1:18" s="440" customFormat="1" ht="36" customHeight="1">
      <c r="A885" s="424"/>
      <c r="B885" s="706"/>
      <c r="C885" s="489"/>
      <c r="D885" s="438"/>
      <c r="E885" s="957" t="s">
        <v>449</v>
      </c>
      <c r="F885" s="958"/>
      <c r="G885" s="958"/>
      <c r="H885" s="958">
        <v>0</v>
      </c>
      <c r="I885" s="734"/>
      <c r="J885" s="734"/>
      <c r="K885" s="529"/>
      <c r="L885" s="958"/>
      <c r="M885" s="958"/>
      <c r="N885" s="959">
        <v>0</v>
      </c>
      <c r="O885" s="839"/>
      <c r="P885" s="772"/>
      <c r="Q885" s="812"/>
      <c r="R885" s="953"/>
    </row>
    <row r="886" spans="1:18" s="440" customFormat="1" ht="36" customHeight="1">
      <c r="A886" s="424"/>
      <c r="B886" s="706"/>
      <c r="C886" s="489"/>
      <c r="D886" s="438"/>
      <c r="E886" s="957" t="s">
        <v>450</v>
      </c>
      <c r="F886" s="958"/>
      <c r="G886" s="958"/>
      <c r="H886" s="958">
        <v>0</v>
      </c>
      <c r="I886" s="734"/>
      <c r="J886" s="734"/>
      <c r="K886" s="529"/>
      <c r="L886" s="958"/>
      <c r="M886" s="958"/>
      <c r="N886" s="959">
        <v>0</v>
      </c>
      <c r="O886" s="839"/>
      <c r="P886" s="772"/>
      <c r="Q886" s="812"/>
      <c r="R886" s="953"/>
    </row>
    <row r="887" spans="1:18" s="440" customFormat="1" ht="36" customHeight="1">
      <c r="A887" s="424"/>
      <c r="B887" s="706"/>
      <c r="C887" s="489"/>
      <c r="D887" s="438"/>
      <c r="E887" s="957" t="s">
        <v>451</v>
      </c>
      <c r="F887" s="958"/>
      <c r="G887" s="958"/>
      <c r="H887" s="958">
        <v>0</v>
      </c>
      <c r="I887" s="734"/>
      <c r="J887" s="734"/>
      <c r="K887" s="529"/>
      <c r="L887" s="958"/>
      <c r="M887" s="958"/>
      <c r="N887" s="959">
        <v>0</v>
      </c>
      <c r="O887" s="839"/>
      <c r="P887" s="772"/>
      <c r="Q887" s="812"/>
      <c r="R887" s="953"/>
    </row>
    <row r="888" spans="1:18" s="440" customFormat="1" ht="36" customHeight="1">
      <c r="A888" s="424"/>
      <c r="B888" s="706"/>
      <c r="C888" s="489"/>
      <c r="D888" s="438"/>
      <c r="E888" s="960" t="s">
        <v>483</v>
      </c>
      <c r="F888" s="958"/>
      <c r="G888" s="958"/>
      <c r="H888" s="958">
        <v>4300</v>
      </c>
      <c r="I888" s="734"/>
      <c r="J888" s="734"/>
      <c r="K888" s="529"/>
      <c r="L888" s="958"/>
      <c r="M888" s="958"/>
      <c r="N888" s="959">
        <v>0</v>
      </c>
      <c r="O888" s="839"/>
      <c r="P888" s="772"/>
      <c r="Q888" s="812"/>
      <c r="R888" s="953"/>
    </row>
    <row r="889" spans="1:18" s="440" customFormat="1" ht="84" customHeight="1">
      <c r="A889" s="424"/>
      <c r="B889" s="706"/>
      <c r="C889" s="489"/>
      <c r="D889" s="438"/>
      <c r="E889" s="957" t="s">
        <v>452</v>
      </c>
      <c r="F889" s="958"/>
      <c r="G889" s="958"/>
      <c r="H889" s="958">
        <v>0</v>
      </c>
      <c r="I889" s="734"/>
      <c r="J889" s="734"/>
      <c r="K889" s="529"/>
      <c r="L889" s="958"/>
      <c r="M889" s="958"/>
      <c r="N889" s="959">
        <v>0</v>
      </c>
      <c r="O889" s="839"/>
      <c r="P889" s="772"/>
      <c r="Q889" s="812"/>
      <c r="R889" s="953"/>
    </row>
    <row r="890" spans="1:18" s="440" customFormat="1" ht="59.25" customHeight="1">
      <c r="A890" s="424"/>
      <c r="B890" s="706"/>
      <c r="C890" s="489"/>
      <c r="D890" s="438"/>
      <c r="E890" s="957" t="s">
        <v>453</v>
      </c>
      <c r="F890" s="958"/>
      <c r="G890" s="958"/>
      <c r="H890" s="958">
        <v>0</v>
      </c>
      <c r="I890" s="734"/>
      <c r="J890" s="734"/>
      <c r="K890" s="529"/>
      <c r="L890" s="958"/>
      <c r="M890" s="958"/>
      <c r="N890" s="959">
        <v>0</v>
      </c>
      <c r="O890" s="839"/>
      <c r="P890" s="772"/>
      <c r="Q890" s="812"/>
      <c r="R890" s="953"/>
    </row>
    <row r="891" spans="1:18" s="440" customFormat="1" ht="36" customHeight="1">
      <c r="A891" s="424"/>
      <c r="B891" s="706"/>
      <c r="C891" s="489"/>
      <c r="D891" s="438"/>
      <c r="E891" s="957" t="s">
        <v>454</v>
      </c>
      <c r="F891" s="958"/>
      <c r="G891" s="958"/>
      <c r="H891" s="958">
        <v>0</v>
      </c>
      <c r="I891" s="734"/>
      <c r="J891" s="734"/>
      <c r="K891" s="529"/>
      <c r="L891" s="958"/>
      <c r="M891" s="958"/>
      <c r="N891" s="959">
        <v>657.3</v>
      </c>
      <c r="O891" s="839"/>
      <c r="P891" s="772"/>
      <c r="Q891" s="812"/>
      <c r="R891" s="953"/>
    </row>
    <row r="892" spans="1:18" s="440" customFormat="1" ht="58.5" customHeight="1">
      <c r="A892" s="424"/>
      <c r="B892" s="706"/>
      <c r="C892" s="489"/>
      <c r="D892" s="438"/>
      <c r="E892" s="957" t="s">
        <v>455</v>
      </c>
      <c r="F892" s="958"/>
      <c r="G892" s="958"/>
      <c r="H892" s="958">
        <v>0</v>
      </c>
      <c r="I892" s="734"/>
      <c r="J892" s="734"/>
      <c r="K892" s="529"/>
      <c r="L892" s="958"/>
      <c r="M892" s="958"/>
      <c r="N892" s="959">
        <v>0</v>
      </c>
      <c r="O892" s="839"/>
      <c r="P892" s="772"/>
      <c r="Q892" s="812"/>
      <c r="R892" s="953"/>
    </row>
    <row r="893" spans="1:18" s="440" customFormat="1" ht="36" customHeight="1">
      <c r="A893" s="424"/>
      <c r="B893" s="706"/>
      <c r="C893" s="489"/>
      <c r="D893" s="438"/>
      <c r="E893" s="957" t="s">
        <v>456</v>
      </c>
      <c r="F893" s="958"/>
      <c r="G893" s="958"/>
      <c r="H893" s="958">
        <v>0</v>
      </c>
      <c r="I893" s="734"/>
      <c r="J893" s="734"/>
      <c r="K893" s="529"/>
      <c r="L893" s="958"/>
      <c r="M893" s="958"/>
      <c r="N893" s="959">
        <v>0</v>
      </c>
      <c r="O893" s="839"/>
      <c r="P893" s="772"/>
      <c r="Q893" s="812"/>
      <c r="R893" s="953"/>
    </row>
    <row r="894" spans="1:18" s="440" customFormat="1" ht="54.75" customHeight="1">
      <c r="A894" s="424"/>
      <c r="B894" s="706"/>
      <c r="C894" s="489"/>
      <c r="D894" s="438"/>
      <c r="E894" s="957" t="s">
        <v>457</v>
      </c>
      <c r="F894" s="958"/>
      <c r="G894" s="958"/>
      <c r="H894" s="958">
        <v>0</v>
      </c>
      <c r="I894" s="734"/>
      <c r="J894" s="734"/>
      <c r="K894" s="529"/>
      <c r="L894" s="958"/>
      <c r="M894" s="958"/>
      <c r="N894" s="959">
        <v>0</v>
      </c>
      <c r="O894" s="839"/>
      <c r="P894" s="772"/>
      <c r="Q894" s="812"/>
      <c r="R894" s="953"/>
    </row>
    <row r="895" spans="1:18" s="440" customFormat="1" ht="36" customHeight="1">
      <c r="A895" s="424"/>
      <c r="B895" s="706"/>
      <c r="C895" s="489"/>
      <c r="D895" s="438"/>
      <c r="E895" s="957" t="s">
        <v>458</v>
      </c>
      <c r="F895" s="961"/>
      <c r="G895" s="961"/>
      <c r="H895" s="958">
        <v>32231.32</v>
      </c>
      <c r="I895" s="734"/>
      <c r="J895" s="734"/>
      <c r="K895" s="529"/>
      <c r="L895" s="961"/>
      <c r="M895" s="961"/>
      <c r="N895" s="959">
        <v>1498.69</v>
      </c>
      <c r="O895" s="839"/>
      <c r="P895" s="772"/>
      <c r="Q895" s="812"/>
      <c r="R895" s="953"/>
    </row>
    <row r="896" spans="1:18" s="440" customFormat="1" ht="36" customHeight="1">
      <c r="A896" s="424"/>
      <c r="B896" s="706"/>
      <c r="C896" s="489"/>
      <c r="D896" s="438"/>
      <c r="E896" s="957" t="s">
        <v>459</v>
      </c>
      <c r="F896" s="961"/>
      <c r="G896" s="961"/>
      <c r="H896" s="958">
        <v>0</v>
      </c>
      <c r="I896" s="734"/>
      <c r="J896" s="734"/>
      <c r="K896" s="529"/>
      <c r="L896" s="961"/>
      <c r="M896" s="961"/>
      <c r="N896" s="959">
        <v>0</v>
      </c>
      <c r="O896" s="839"/>
      <c r="P896" s="772"/>
      <c r="Q896" s="812"/>
      <c r="R896" s="953"/>
    </row>
    <row r="897" spans="1:18" s="440" customFormat="1" ht="36" customHeight="1">
      <c r="A897" s="424"/>
      <c r="B897" s="706"/>
      <c r="C897" s="489"/>
      <c r="D897" s="438"/>
      <c r="E897" s="957" t="s">
        <v>460</v>
      </c>
      <c r="F897" s="961"/>
      <c r="G897" s="961"/>
      <c r="H897" s="958">
        <v>692</v>
      </c>
      <c r="I897" s="734"/>
      <c r="J897" s="734"/>
      <c r="K897" s="529"/>
      <c r="L897" s="961"/>
      <c r="M897" s="961"/>
      <c r="N897" s="959">
        <v>0</v>
      </c>
      <c r="O897" s="839"/>
      <c r="P897" s="772"/>
      <c r="Q897" s="812"/>
      <c r="R897" s="953"/>
    </row>
    <row r="898" spans="1:18" s="440" customFormat="1" ht="36" customHeight="1">
      <c r="A898" s="424"/>
      <c r="B898" s="706"/>
      <c r="C898" s="489"/>
      <c r="D898" s="438"/>
      <c r="E898" s="957" t="s">
        <v>461</v>
      </c>
      <c r="F898" s="961"/>
      <c r="G898" s="961"/>
      <c r="H898" s="958">
        <v>35817</v>
      </c>
      <c r="I898" s="734"/>
      <c r="J898" s="734"/>
      <c r="K898" s="529"/>
      <c r="L898" s="961"/>
      <c r="M898" s="961"/>
      <c r="N898" s="959">
        <v>3558</v>
      </c>
      <c r="O898" s="839"/>
      <c r="P898" s="772"/>
      <c r="Q898" s="812"/>
      <c r="R898" s="953"/>
    </row>
    <row r="899" spans="1:18" s="440" customFormat="1" ht="36" customHeight="1">
      <c r="A899" s="424"/>
      <c r="B899" s="706"/>
      <c r="C899" s="489"/>
      <c r="D899" s="438"/>
      <c r="E899" s="957" t="s">
        <v>462</v>
      </c>
      <c r="F899" s="961"/>
      <c r="G899" s="961"/>
      <c r="H899" s="958">
        <v>0</v>
      </c>
      <c r="I899" s="734"/>
      <c r="J899" s="734"/>
      <c r="K899" s="529"/>
      <c r="L899" s="961"/>
      <c r="M899" s="961"/>
      <c r="N899" s="959">
        <v>43573.86</v>
      </c>
      <c r="O899" s="839"/>
      <c r="P899" s="772"/>
      <c r="Q899" s="812"/>
      <c r="R899" s="953"/>
    </row>
    <row r="900" spans="1:18" s="440" customFormat="1" ht="63" customHeight="1">
      <c r="A900" s="424"/>
      <c r="B900" s="706"/>
      <c r="C900" s="489"/>
      <c r="D900" s="438"/>
      <c r="E900" s="957" t="s">
        <v>463</v>
      </c>
      <c r="F900" s="961"/>
      <c r="G900" s="961"/>
      <c r="H900" s="958">
        <v>0</v>
      </c>
      <c r="I900" s="734"/>
      <c r="J900" s="734"/>
      <c r="K900" s="529"/>
      <c r="L900" s="961"/>
      <c r="M900" s="961"/>
      <c r="N900" s="959">
        <v>1600.29</v>
      </c>
      <c r="O900" s="839"/>
      <c r="P900" s="772"/>
      <c r="Q900" s="812"/>
      <c r="R900" s="953"/>
    </row>
    <row r="901" spans="1:18" s="440" customFormat="1" ht="36" customHeight="1">
      <c r="A901" s="424"/>
      <c r="B901" s="706"/>
      <c r="C901" s="489"/>
      <c r="D901" s="438"/>
      <c r="E901" s="957" t="s">
        <v>464</v>
      </c>
      <c r="F901" s="961"/>
      <c r="G901" s="961"/>
      <c r="H901" s="958">
        <v>0</v>
      </c>
      <c r="I901" s="734"/>
      <c r="J901" s="734"/>
      <c r="K901" s="529"/>
      <c r="L901" s="961"/>
      <c r="M901" s="961"/>
      <c r="N901" s="959">
        <v>0</v>
      </c>
      <c r="O901" s="839"/>
      <c r="P901" s="772"/>
      <c r="Q901" s="812"/>
      <c r="R901" s="953"/>
    </row>
    <row r="902" spans="1:18" s="440" customFormat="1" ht="36" customHeight="1">
      <c r="A902" s="424"/>
      <c r="B902" s="706"/>
      <c r="C902" s="489"/>
      <c r="D902" s="438"/>
      <c r="E902" s="957" t="s">
        <v>465</v>
      </c>
      <c r="F902" s="961"/>
      <c r="G902" s="961"/>
      <c r="H902" s="958">
        <v>0</v>
      </c>
      <c r="I902" s="734"/>
      <c r="J902" s="734"/>
      <c r="K902" s="529"/>
      <c r="L902" s="961"/>
      <c r="M902" s="961"/>
      <c r="N902" s="959">
        <v>0</v>
      </c>
      <c r="O902" s="839"/>
      <c r="P902" s="772"/>
      <c r="Q902" s="812"/>
      <c r="R902" s="953"/>
    </row>
    <row r="903" spans="1:18" s="440" customFormat="1" ht="36" customHeight="1">
      <c r="A903" s="424"/>
      <c r="B903" s="706"/>
      <c r="C903" s="489"/>
      <c r="D903" s="438"/>
      <c r="E903" s="957" t="s">
        <v>466</v>
      </c>
      <c r="F903" s="961"/>
      <c r="G903" s="961"/>
      <c r="H903" s="958">
        <v>1674.81</v>
      </c>
      <c r="I903" s="734"/>
      <c r="J903" s="734"/>
      <c r="K903" s="529"/>
      <c r="L903" s="961"/>
      <c r="M903" s="961"/>
      <c r="N903" s="959">
        <v>0</v>
      </c>
      <c r="O903" s="839"/>
      <c r="P903" s="772"/>
      <c r="Q903" s="812"/>
      <c r="R903" s="953"/>
    </row>
    <row r="904" spans="1:18" s="440" customFormat="1" ht="57" customHeight="1">
      <c r="A904" s="424"/>
      <c r="B904" s="706"/>
      <c r="C904" s="489"/>
      <c r="D904" s="438"/>
      <c r="E904" s="945" t="s">
        <v>467</v>
      </c>
      <c r="F904" s="949">
        <v>117300</v>
      </c>
      <c r="G904" s="949">
        <v>111778</v>
      </c>
      <c r="H904" s="949">
        <v>74715.13</v>
      </c>
      <c r="I904" s="734"/>
      <c r="J904" s="734"/>
      <c r="K904" s="529"/>
      <c r="L904" s="949">
        <v>0</v>
      </c>
      <c r="M904" s="949">
        <v>0</v>
      </c>
      <c r="N904" s="956">
        <v>0</v>
      </c>
      <c r="O904" s="890">
        <v>0</v>
      </c>
      <c r="P904" s="772" t="s">
        <v>395</v>
      </c>
      <c r="Q904" s="812"/>
      <c r="R904" s="953"/>
    </row>
    <row r="905" spans="1:18" s="271" customFormat="1" ht="45" customHeight="1">
      <c r="A905" s="487"/>
      <c r="B905" s="173"/>
      <c r="C905" s="198">
        <v>2</v>
      </c>
      <c r="D905" s="463"/>
      <c r="E905" s="270" t="s">
        <v>468</v>
      </c>
      <c r="F905" s="524"/>
      <c r="G905" s="452"/>
      <c r="H905" s="452"/>
      <c r="I905" s="452"/>
      <c r="J905" s="455"/>
      <c r="K905" s="452">
        <v>415000</v>
      </c>
      <c r="L905" s="452">
        <f>L906+L925+L947</f>
        <v>415000</v>
      </c>
      <c r="M905" s="452">
        <f t="shared" ref="M905:N905" si="94">M906+M925+M947</f>
        <v>415000</v>
      </c>
      <c r="N905" s="452">
        <f t="shared" si="94"/>
        <v>214405.96</v>
      </c>
      <c r="O905" s="873">
        <f>N905/M905</f>
        <v>0.51664086746987947</v>
      </c>
      <c r="P905" s="787" t="s">
        <v>395</v>
      </c>
      <c r="Q905" s="670"/>
    </row>
    <row r="906" spans="1:18" s="431" customFormat="1" ht="39.9" customHeight="1">
      <c r="A906" s="735"/>
      <c r="B906" s="944"/>
      <c r="C906" s="458"/>
      <c r="D906" s="444"/>
      <c r="E906" s="945" t="s">
        <v>412</v>
      </c>
      <c r="F906" s="976"/>
      <c r="G906" s="946"/>
      <c r="H906" s="946"/>
      <c r="I906" s="946"/>
      <c r="J906" s="947"/>
      <c r="K906" s="948"/>
      <c r="L906" s="949">
        <v>180000</v>
      </c>
      <c r="M906" s="949">
        <v>180000</v>
      </c>
      <c r="N906" s="977">
        <f>SUM(N908:N924)</f>
        <v>99812.449999999983</v>
      </c>
      <c r="O906" s="978">
        <f>N906/M906</f>
        <v>0.55451361111111097</v>
      </c>
      <c r="P906" s="780" t="s">
        <v>395</v>
      </c>
      <c r="Q906" s="908"/>
      <c r="R906" s="951"/>
    </row>
    <row r="907" spans="1:18" s="440" customFormat="1" ht="34.5" customHeight="1">
      <c r="A907" s="705"/>
      <c r="B907" s="972"/>
      <c r="C907" s="450"/>
      <c r="D907" s="438"/>
      <c r="E907" s="952" t="s">
        <v>13</v>
      </c>
      <c r="F907" s="979"/>
      <c r="G907" s="973"/>
      <c r="H907" s="973"/>
      <c r="I907" s="973"/>
      <c r="J907" s="973"/>
      <c r="K907" s="383"/>
      <c r="L907" s="980"/>
      <c r="M907" s="980"/>
      <c r="N907" s="980"/>
      <c r="O907" s="981"/>
      <c r="P907" s="772"/>
      <c r="Q907" s="812"/>
      <c r="R907" s="953"/>
    </row>
    <row r="908" spans="1:18" s="440" customFormat="1" ht="36" customHeight="1">
      <c r="A908" s="705"/>
      <c r="B908" s="972"/>
      <c r="C908" s="450"/>
      <c r="D908" s="425"/>
      <c r="E908" s="954" t="s">
        <v>477</v>
      </c>
      <c r="F908" s="979"/>
      <c r="G908" s="973"/>
      <c r="H908" s="973"/>
      <c r="I908" s="973"/>
      <c r="J908" s="973"/>
      <c r="K908" s="383"/>
      <c r="L908" s="955"/>
      <c r="M908" s="955"/>
      <c r="N908" s="983">
        <v>0</v>
      </c>
      <c r="O908" s="981"/>
      <c r="P908" s="772"/>
      <c r="Q908" s="812"/>
      <c r="R908" s="953"/>
    </row>
    <row r="909" spans="1:18" s="440" customFormat="1" ht="57" customHeight="1">
      <c r="A909" s="705"/>
      <c r="B909" s="972"/>
      <c r="C909" s="450"/>
      <c r="D909" s="438"/>
      <c r="E909" s="954" t="s">
        <v>478</v>
      </c>
      <c r="F909" s="979"/>
      <c r="G909" s="973"/>
      <c r="H909" s="973"/>
      <c r="I909" s="973"/>
      <c r="J909" s="973"/>
      <c r="K909" s="383"/>
      <c r="L909" s="955"/>
      <c r="M909" s="955"/>
      <c r="N909" s="983">
        <v>0</v>
      </c>
      <c r="O909" s="981"/>
      <c r="P909" s="772"/>
      <c r="Q909" s="812"/>
      <c r="R909" s="953"/>
    </row>
    <row r="910" spans="1:18" s="440" customFormat="1" ht="36" customHeight="1">
      <c r="A910" s="705"/>
      <c r="B910" s="972"/>
      <c r="C910" s="450"/>
      <c r="D910" s="438"/>
      <c r="E910" s="954" t="s">
        <v>479</v>
      </c>
      <c r="F910" s="979"/>
      <c r="G910" s="973"/>
      <c r="H910" s="973"/>
      <c r="I910" s="973"/>
      <c r="J910" s="973"/>
      <c r="K910" s="383"/>
      <c r="L910" s="955"/>
      <c r="M910" s="955"/>
      <c r="N910" s="983">
        <v>0</v>
      </c>
      <c r="O910" s="981"/>
      <c r="P910" s="772"/>
      <c r="Q910" s="812"/>
      <c r="R910" s="953"/>
    </row>
    <row r="911" spans="1:18" s="440" customFormat="1" ht="36" customHeight="1">
      <c r="A911" s="705"/>
      <c r="B911" s="972"/>
      <c r="C911" s="450"/>
      <c r="D911" s="438"/>
      <c r="E911" s="954" t="s">
        <v>480</v>
      </c>
      <c r="F911" s="979"/>
      <c r="G911" s="973"/>
      <c r="H911" s="973"/>
      <c r="I911" s="973"/>
      <c r="J911" s="973"/>
      <c r="K911" s="383"/>
      <c r="L911" s="955"/>
      <c r="M911" s="955"/>
      <c r="N911" s="983">
        <v>0</v>
      </c>
      <c r="O911" s="981"/>
      <c r="P911" s="772"/>
      <c r="Q911" s="812"/>
      <c r="R911" s="953"/>
    </row>
    <row r="912" spans="1:18" s="440" customFormat="1" ht="36" customHeight="1">
      <c r="A912" s="705"/>
      <c r="B912" s="972"/>
      <c r="C912" s="450"/>
      <c r="D912" s="438"/>
      <c r="E912" s="954" t="s">
        <v>436</v>
      </c>
      <c r="F912" s="979"/>
      <c r="G912" s="973"/>
      <c r="H912" s="973"/>
      <c r="I912" s="973"/>
      <c r="J912" s="973"/>
      <c r="K912" s="383"/>
      <c r="L912" s="955"/>
      <c r="M912" s="955"/>
      <c r="N912" s="983">
        <v>0</v>
      </c>
      <c r="O912" s="981"/>
      <c r="P912" s="772"/>
      <c r="Q912" s="812"/>
      <c r="R912" s="953"/>
    </row>
    <row r="913" spans="1:18" s="440" customFormat="1" ht="36" customHeight="1">
      <c r="A913" s="705"/>
      <c r="B913" s="972"/>
      <c r="C913" s="450"/>
      <c r="D913" s="438"/>
      <c r="E913" s="954" t="s">
        <v>437</v>
      </c>
      <c r="F913" s="979"/>
      <c r="G913" s="973"/>
      <c r="H913" s="973"/>
      <c r="I913" s="973"/>
      <c r="J913" s="973"/>
      <c r="K913" s="383"/>
      <c r="L913" s="955"/>
      <c r="M913" s="955"/>
      <c r="N913" s="983">
        <v>0</v>
      </c>
      <c r="O913" s="981"/>
      <c r="P913" s="772"/>
      <c r="Q913" s="812"/>
      <c r="R913" s="953"/>
    </row>
    <row r="914" spans="1:18" s="440" customFormat="1" ht="36" customHeight="1">
      <c r="A914" s="705"/>
      <c r="B914" s="972"/>
      <c r="C914" s="450"/>
      <c r="D914" s="438"/>
      <c r="E914" s="954" t="s">
        <v>438</v>
      </c>
      <c r="F914" s="979"/>
      <c r="G914" s="973"/>
      <c r="H914" s="973"/>
      <c r="I914" s="973"/>
      <c r="J914" s="973"/>
      <c r="K914" s="383"/>
      <c r="L914" s="955"/>
      <c r="M914" s="955"/>
      <c r="N914" s="983">
        <v>0</v>
      </c>
      <c r="O914" s="981"/>
      <c r="P914" s="772"/>
      <c r="Q914" s="812"/>
      <c r="R914" s="953"/>
    </row>
    <row r="915" spans="1:18" s="440" customFormat="1" ht="36" customHeight="1">
      <c r="A915" s="705"/>
      <c r="B915" s="972"/>
      <c r="C915" s="450"/>
      <c r="D915" s="438"/>
      <c r="E915" s="954" t="s">
        <v>481</v>
      </c>
      <c r="F915" s="979"/>
      <c r="G915" s="973"/>
      <c r="H915" s="973"/>
      <c r="I915" s="973"/>
      <c r="J915" s="973"/>
      <c r="K915" s="383"/>
      <c r="L915" s="955"/>
      <c r="M915" s="955"/>
      <c r="N915" s="983">
        <v>0</v>
      </c>
      <c r="O915" s="981"/>
      <c r="P915" s="772"/>
      <c r="Q915" s="812"/>
      <c r="R915" s="953"/>
    </row>
    <row r="916" spans="1:18" s="440" customFormat="1" ht="36" customHeight="1">
      <c r="A916" s="705"/>
      <c r="B916" s="972"/>
      <c r="C916" s="450"/>
      <c r="D916" s="438"/>
      <c r="E916" s="954" t="s">
        <v>439</v>
      </c>
      <c r="F916" s="979"/>
      <c r="G916" s="973"/>
      <c r="H916" s="973"/>
      <c r="I916" s="973"/>
      <c r="J916" s="973"/>
      <c r="K916" s="383"/>
      <c r="L916" s="955"/>
      <c r="M916" s="955"/>
      <c r="N916" s="983">
        <v>0</v>
      </c>
      <c r="O916" s="981"/>
      <c r="P916" s="772"/>
      <c r="Q916" s="812"/>
      <c r="R916" s="953"/>
    </row>
    <row r="917" spans="1:18" s="440" customFormat="1" ht="36" customHeight="1">
      <c r="A917" s="705"/>
      <c r="B917" s="972"/>
      <c r="C917" s="450"/>
      <c r="D917" s="438"/>
      <c r="E917" s="954" t="s">
        <v>440</v>
      </c>
      <c r="F917" s="979"/>
      <c r="G917" s="973"/>
      <c r="H917" s="973"/>
      <c r="I917" s="973"/>
      <c r="J917" s="973"/>
      <c r="K917" s="383"/>
      <c r="L917" s="955"/>
      <c r="M917" s="955"/>
      <c r="N917" s="983">
        <v>0</v>
      </c>
      <c r="O917" s="981"/>
      <c r="P917" s="772"/>
      <c r="Q917" s="812"/>
      <c r="R917" s="953"/>
    </row>
    <row r="918" spans="1:18" s="440" customFormat="1" ht="36" customHeight="1">
      <c r="A918" s="705"/>
      <c r="B918" s="972"/>
      <c r="C918" s="450"/>
      <c r="D918" s="438"/>
      <c r="E918" s="954" t="s">
        <v>441</v>
      </c>
      <c r="F918" s="979"/>
      <c r="G918" s="973"/>
      <c r="H918" s="973"/>
      <c r="I918" s="973"/>
      <c r="J918" s="973"/>
      <c r="K918" s="383"/>
      <c r="L918" s="955"/>
      <c r="M918" s="955"/>
      <c r="N918" s="983">
        <v>0</v>
      </c>
      <c r="O918" s="981"/>
      <c r="P918" s="772"/>
      <c r="Q918" s="812"/>
      <c r="R918" s="953"/>
    </row>
    <row r="919" spans="1:18" s="440" customFormat="1" ht="57" customHeight="1">
      <c r="A919" s="705"/>
      <c r="B919" s="972"/>
      <c r="C919" s="450"/>
      <c r="D919" s="438"/>
      <c r="E919" s="954" t="s">
        <v>501</v>
      </c>
      <c r="F919" s="979"/>
      <c r="G919" s="973"/>
      <c r="H919" s="973"/>
      <c r="I919" s="973"/>
      <c r="J919" s="973"/>
      <c r="K919" s="383"/>
      <c r="L919" s="955"/>
      <c r="M919" s="955"/>
      <c r="N919" s="983">
        <v>70533.7</v>
      </c>
      <c r="O919" s="981"/>
      <c r="P919" s="772"/>
      <c r="Q919" s="812"/>
      <c r="R919" s="953"/>
    </row>
    <row r="920" spans="1:18" s="440" customFormat="1" ht="36" customHeight="1">
      <c r="A920" s="705"/>
      <c r="B920" s="972"/>
      <c r="C920" s="450"/>
      <c r="D920" s="438"/>
      <c r="E920" s="954" t="s">
        <v>442</v>
      </c>
      <c r="F920" s="979"/>
      <c r="G920" s="973"/>
      <c r="H920" s="973"/>
      <c r="I920" s="973"/>
      <c r="J920" s="973"/>
      <c r="K920" s="383"/>
      <c r="L920" s="955"/>
      <c r="M920" s="955"/>
      <c r="N920" s="983">
        <v>0</v>
      </c>
      <c r="O920" s="981"/>
      <c r="P920" s="772"/>
      <c r="Q920" s="812"/>
      <c r="R920" s="953"/>
    </row>
    <row r="921" spans="1:18" s="440" customFormat="1" ht="36" customHeight="1">
      <c r="A921" s="705"/>
      <c r="B921" s="972"/>
      <c r="C921" s="450"/>
      <c r="D921" s="438"/>
      <c r="E921" s="954" t="s">
        <v>443</v>
      </c>
      <c r="F921" s="979"/>
      <c r="G921" s="973"/>
      <c r="H921" s="973"/>
      <c r="I921" s="973"/>
      <c r="J921" s="973"/>
      <c r="K921" s="383"/>
      <c r="L921" s="955"/>
      <c r="M921" s="955"/>
      <c r="N921" s="983">
        <v>11742.57</v>
      </c>
      <c r="O921" s="981"/>
      <c r="P921" s="772"/>
      <c r="Q921" s="812"/>
      <c r="R921" s="953"/>
    </row>
    <row r="922" spans="1:18" s="440" customFormat="1" ht="36" customHeight="1">
      <c r="A922" s="705"/>
      <c r="B922" s="972"/>
      <c r="C922" s="450"/>
      <c r="D922" s="438"/>
      <c r="E922" s="954" t="s">
        <v>482</v>
      </c>
      <c r="F922" s="979"/>
      <c r="G922" s="973"/>
      <c r="H922" s="973"/>
      <c r="I922" s="973"/>
      <c r="J922" s="973"/>
      <c r="K922" s="383"/>
      <c r="L922" s="955"/>
      <c r="M922" s="955"/>
      <c r="N922" s="983">
        <v>0</v>
      </c>
      <c r="O922" s="981"/>
      <c r="P922" s="772"/>
      <c r="Q922" s="812"/>
      <c r="R922" s="953"/>
    </row>
    <row r="923" spans="1:18" s="440" customFormat="1" ht="36" customHeight="1">
      <c r="A923" s="705"/>
      <c r="B923" s="972"/>
      <c r="C923" s="450"/>
      <c r="D923" s="438"/>
      <c r="E923" s="954" t="s">
        <v>445</v>
      </c>
      <c r="F923" s="979"/>
      <c r="G923" s="973"/>
      <c r="H923" s="973"/>
      <c r="I923" s="973"/>
      <c r="J923" s="973"/>
      <c r="K923" s="383"/>
      <c r="L923" s="955"/>
      <c r="M923" s="955"/>
      <c r="N923" s="983">
        <v>1785</v>
      </c>
      <c r="O923" s="981"/>
      <c r="P923" s="772"/>
      <c r="Q923" s="812"/>
      <c r="R923" s="953"/>
    </row>
    <row r="924" spans="1:18" s="440" customFormat="1" ht="36" customHeight="1">
      <c r="A924" s="705"/>
      <c r="B924" s="972"/>
      <c r="C924" s="450"/>
      <c r="D924" s="438"/>
      <c r="E924" s="954" t="s">
        <v>446</v>
      </c>
      <c r="F924" s="979"/>
      <c r="G924" s="973"/>
      <c r="H924" s="973"/>
      <c r="I924" s="973"/>
      <c r="J924" s="973"/>
      <c r="K924" s="383"/>
      <c r="L924" s="955"/>
      <c r="M924" s="955"/>
      <c r="N924" s="983">
        <v>15751.18</v>
      </c>
      <c r="O924" s="981"/>
      <c r="P924" s="772"/>
      <c r="Q924" s="812"/>
      <c r="R924" s="953"/>
    </row>
    <row r="925" spans="1:18" s="440" customFormat="1" ht="57" customHeight="1">
      <c r="A925" s="705"/>
      <c r="B925" s="972"/>
      <c r="C925" s="982"/>
      <c r="D925" s="438"/>
      <c r="E925" s="945" t="s">
        <v>418</v>
      </c>
      <c r="F925" s="949">
        <v>117300</v>
      </c>
      <c r="G925" s="949">
        <v>111778</v>
      </c>
      <c r="H925" s="949">
        <v>74715.13</v>
      </c>
      <c r="I925" s="973"/>
      <c r="J925" s="973"/>
      <c r="K925" s="529"/>
      <c r="L925" s="949">
        <v>235000</v>
      </c>
      <c r="M925" s="949">
        <v>235000</v>
      </c>
      <c r="N925" s="977">
        <f>SUM(N926:N946)</f>
        <v>114593.51000000001</v>
      </c>
      <c r="O925" s="978">
        <f>N925/M925</f>
        <v>0.48763195744680854</v>
      </c>
      <c r="P925" s="772" t="s">
        <v>395</v>
      </c>
      <c r="Q925" s="812" t="s">
        <v>395</v>
      </c>
      <c r="R925" s="953"/>
    </row>
    <row r="926" spans="1:18" s="440" customFormat="1" ht="81" customHeight="1">
      <c r="A926" s="705"/>
      <c r="B926" s="972"/>
      <c r="C926" s="982"/>
      <c r="D926" s="438"/>
      <c r="E926" s="957" t="s">
        <v>447</v>
      </c>
      <c r="F926" s="958"/>
      <c r="G926" s="958"/>
      <c r="H926" s="958">
        <v>0</v>
      </c>
      <c r="I926" s="973"/>
      <c r="J926" s="973"/>
      <c r="K926" s="529"/>
      <c r="L926" s="958"/>
      <c r="M926" s="958"/>
      <c r="N926" s="983">
        <v>0</v>
      </c>
      <c r="O926" s="981"/>
      <c r="P926" s="772"/>
      <c r="Q926" s="812"/>
      <c r="R926" s="953"/>
    </row>
    <row r="927" spans="1:18" s="440" customFormat="1" ht="36" customHeight="1">
      <c r="A927" s="705"/>
      <c r="B927" s="972"/>
      <c r="C927" s="982"/>
      <c r="D927" s="438"/>
      <c r="E927" s="957" t="s">
        <v>448</v>
      </c>
      <c r="F927" s="958"/>
      <c r="G927" s="958"/>
      <c r="H927" s="958">
        <v>0</v>
      </c>
      <c r="I927" s="973"/>
      <c r="J927" s="973"/>
      <c r="K927" s="529"/>
      <c r="L927" s="958"/>
      <c r="M927" s="958"/>
      <c r="N927" s="983">
        <v>0</v>
      </c>
      <c r="O927" s="981"/>
      <c r="P927" s="772"/>
      <c r="Q927" s="812"/>
      <c r="R927" s="953"/>
    </row>
    <row r="928" spans="1:18" s="440" customFormat="1" ht="36" customHeight="1">
      <c r="A928" s="705"/>
      <c r="B928" s="972"/>
      <c r="C928" s="982"/>
      <c r="D928" s="438"/>
      <c r="E928" s="957" t="s">
        <v>449</v>
      </c>
      <c r="F928" s="958"/>
      <c r="G928" s="958"/>
      <c r="H928" s="958">
        <v>0</v>
      </c>
      <c r="I928" s="973"/>
      <c r="J928" s="973"/>
      <c r="K928" s="529"/>
      <c r="L928" s="958"/>
      <c r="M928" s="958"/>
      <c r="N928" s="983">
        <v>0</v>
      </c>
      <c r="O928" s="981"/>
      <c r="P928" s="772"/>
      <c r="Q928" s="812"/>
      <c r="R928" s="953"/>
    </row>
    <row r="929" spans="1:18" s="440" customFormat="1" ht="36" customHeight="1">
      <c r="A929" s="705"/>
      <c r="B929" s="972"/>
      <c r="C929" s="982"/>
      <c r="D929" s="438"/>
      <c r="E929" s="957" t="s">
        <v>450</v>
      </c>
      <c r="F929" s="958"/>
      <c r="G929" s="958"/>
      <c r="H929" s="958">
        <v>0</v>
      </c>
      <c r="I929" s="973"/>
      <c r="J929" s="973"/>
      <c r="K929" s="529"/>
      <c r="L929" s="958"/>
      <c r="M929" s="958"/>
      <c r="N929" s="983">
        <v>0</v>
      </c>
      <c r="O929" s="981"/>
      <c r="P929" s="772"/>
      <c r="Q929" s="812"/>
      <c r="R929" s="953"/>
    </row>
    <row r="930" spans="1:18" s="440" customFormat="1" ht="36" customHeight="1">
      <c r="A930" s="705"/>
      <c r="B930" s="972"/>
      <c r="C930" s="982"/>
      <c r="D930" s="438"/>
      <c r="E930" s="957" t="s">
        <v>451</v>
      </c>
      <c r="F930" s="958"/>
      <c r="G930" s="958"/>
      <c r="H930" s="958">
        <v>0</v>
      </c>
      <c r="I930" s="973"/>
      <c r="J930" s="973"/>
      <c r="K930" s="529"/>
      <c r="L930" s="958"/>
      <c r="M930" s="958"/>
      <c r="N930" s="983">
        <v>0</v>
      </c>
      <c r="O930" s="981"/>
      <c r="P930" s="772"/>
      <c r="Q930" s="812"/>
      <c r="R930" s="953"/>
    </row>
    <row r="931" spans="1:18" s="440" customFormat="1" ht="36" customHeight="1">
      <c r="A931" s="705"/>
      <c r="B931" s="972"/>
      <c r="C931" s="982"/>
      <c r="D931" s="438"/>
      <c r="E931" s="960" t="s">
        <v>483</v>
      </c>
      <c r="F931" s="958"/>
      <c r="G931" s="958"/>
      <c r="H931" s="958">
        <v>4300</v>
      </c>
      <c r="I931" s="973"/>
      <c r="J931" s="973"/>
      <c r="K931" s="529"/>
      <c r="L931" s="958"/>
      <c r="M931" s="958"/>
      <c r="N931" s="983">
        <v>0</v>
      </c>
      <c r="O931" s="981"/>
      <c r="P931" s="772"/>
      <c r="Q931" s="812"/>
      <c r="R931" s="953"/>
    </row>
    <row r="932" spans="1:18" s="440" customFormat="1" ht="84" customHeight="1">
      <c r="A932" s="705"/>
      <c r="B932" s="972"/>
      <c r="C932" s="982"/>
      <c r="D932" s="438"/>
      <c r="E932" s="957" t="s">
        <v>452</v>
      </c>
      <c r="F932" s="958"/>
      <c r="G932" s="958"/>
      <c r="H932" s="958">
        <v>0</v>
      </c>
      <c r="I932" s="973"/>
      <c r="J932" s="973"/>
      <c r="K932" s="529"/>
      <c r="L932" s="958"/>
      <c r="M932" s="958"/>
      <c r="N932" s="983">
        <v>0</v>
      </c>
      <c r="O932" s="981"/>
      <c r="P932" s="772"/>
      <c r="Q932" s="812"/>
      <c r="R932" s="953"/>
    </row>
    <row r="933" spans="1:18" s="440" customFormat="1" ht="54.75" customHeight="1">
      <c r="A933" s="705"/>
      <c r="B933" s="972"/>
      <c r="C933" s="982"/>
      <c r="D933" s="438"/>
      <c r="E933" s="957" t="s">
        <v>453</v>
      </c>
      <c r="F933" s="958"/>
      <c r="G933" s="958"/>
      <c r="H933" s="958">
        <v>0</v>
      </c>
      <c r="I933" s="973"/>
      <c r="J933" s="973"/>
      <c r="K933" s="529"/>
      <c r="L933" s="958"/>
      <c r="M933" s="958"/>
      <c r="N933" s="983">
        <v>0</v>
      </c>
      <c r="O933" s="981"/>
      <c r="P933" s="772"/>
      <c r="Q933" s="812"/>
      <c r="R933" s="953"/>
    </row>
    <row r="934" spans="1:18" s="440" customFormat="1" ht="36" customHeight="1">
      <c r="A934" s="705"/>
      <c r="B934" s="972"/>
      <c r="C934" s="982"/>
      <c r="D934" s="438"/>
      <c r="E934" s="957" t="s">
        <v>454</v>
      </c>
      <c r="F934" s="958"/>
      <c r="G934" s="958"/>
      <c r="H934" s="958">
        <v>0</v>
      </c>
      <c r="I934" s="973"/>
      <c r="J934" s="973"/>
      <c r="K934" s="529"/>
      <c r="L934" s="958"/>
      <c r="M934" s="958"/>
      <c r="N934" s="983">
        <v>0</v>
      </c>
      <c r="O934" s="981"/>
      <c r="P934" s="772"/>
      <c r="Q934" s="812"/>
      <c r="R934" s="953"/>
    </row>
    <row r="935" spans="1:18" s="440" customFormat="1" ht="62.25" customHeight="1">
      <c r="A935" s="705"/>
      <c r="B935" s="972"/>
      <c r="C935" s="982"/>
      <c r="D935" s="438"/>
      <c r="E935" s="957" t="s">
        <v>455</v>
      </c>
      <c r="F935" s="958"/>
      <c r="G935" s="958"/>
      <c r="H935" s="958">
        <v>0</v>
      </c>
      <c r="I935" s="973"/>
      <c r="J935" s="973"/>
      <c r="K935" s="529"/>
      <c r="L935" s="958"/>
      <c r="M935" s="958"/>
      <c r="N935" s="983">
        <v>0</v>
      </c>
      <c r="O935" s="981"/>
      <c r="P935" s="772"/>
      <c r="Q935" s="812"/>
      <c r="R935" s="953"/>
    </row>
    <row r="936" spans="1:18" s="440" customFormat="1" ht="36" customHeight="1">
      <c r="A936" s="705"/>
      <c r="B936" s="972"/>
      <c r="C936" s="982"/>
      <c r="D936" s="438"/>
      <c r="E936" s="957" t="s">
        <v>456</v>
      </c>
      <c r="F936" s="958"/>
      <c r="G936" s="958"/>
      <c r="H936" s="958">
        <v>0</v>
      </c>
      <c r="I936" s="973"/>
      <c r="J936" s="973"/>
      <c r="K936" s="529"/>
      <c r="L936" s="958"/>
      <c r="M936" s="958"/>
      <c r="N936" s="983">
        <v>0</v>
      </c>
      <c r="O936" s="981"/>
      <c r="P936" s="772"/>
      <c r="Q936" s="812"/>
      <c r="R936" s="953"/>
    </row>
    <row r="937" spans="1:18" s="440" customFormat="1" ht="60.75" customHeight="1">
      <c r="A937" s="705"/>
      <c r="B937" s="972"/>
      <c r="C937" s="982"/>
      <c r="D937" s="438"/>
      <c r="E937" s="957" t="s">
        <v>457</v>
      </c>
      <c r="F937" s="958"/>
      <c r="G937" s="958"/>
      <c r="H937" s="958">
        <v>0</v>
      </c>
      <c r="I937" s="973"/>
      <c r="J937" s="973"/>
      <c r="K937" s="529"/>
      <c r="L937" s="958"/>
      <c r="M937" s="958"/>
      <c r="N937" s="983">
        <v>0</v>
      </c>
      <c r="O937" s="981"/>
      <c r="P937" s="772"/>
      <c r="Q937" s="812"/>
      <c r="R937" s="953"/>
    </row>
    <row r="938" spans="1:18" s="440" customFormat="1" ht="36" customHeight="1">
      <c r="A938" s="705"/>
      <c r="B938" s="972"/>
      <c r="C938" s="982"/>
      <c r="D938" s="438"/>
      <c r="E938" s="957" t="s">
        <v>458</v>
      </c>
      <c r="F938" s="961"/>
      <c r="G938" s="961"/>
      <c r="H938" s="958">
        <v>32231.32</v>
      </c>
      <c r="I938" s="973"/>
      <c r="J938" s="973"/>
      <c r="K938" s="529"/>
      <c r="L938" s="961"/>
      <c r="M938" s="961"/>
      <c r="N938" s="983">
        <v>1574.44</v>
      </c>
      <c r="O938" s="981"/>
      <c r="P938" s="772"/>
      <c r="Q938" s="812"/>
      <c r="R938" s="953"/>
    </row>
    <row r="939" spans="1:18" s="440" customFormat="1" ht="36" customHeight="1">
      <c r="A939" s="705"/>
      <c r="B939" s="972"/>
      <c r="C939" s="982"/>
      <c r="D939" s="438"/>
      <c r="E939" s="957" t="s">
        <v>459</v>
      </c>
      <c r="F939" s="961"/>
      <c r="G939" s="961"/>
      <c r="H939" s="958">
        <v>0</v>
      </c>
      <c r="I939" s="973"/>
      <c r="J939" s="973"/>
      <c r="K939" s="529"/>
      <c r="L939" s="961"/>
      <c r="M939" s="961"/>
      <c r="N939" s="983">
        <v>0</v>
      </c>
      <c r="O939" s="981"/>
      <c r="P939" s="772"/>
      <c r="Q939" s="812"/>
      <c r="R939" s="953"/>
    </row>
    <row r="940" spans="1:18" s="440" customFormat="1" ht="36" customHeight="1">
      <c r="A940" s="705"/>
      <c r="B940" s="972"/>
      <c r="C940" s="982"/>
      <c r="D940" s="438"/>
      <c r="E940" s="957" t="s">
        <v>460</v>
      </c>
      <c r="F940" s="961"/>
      <c r="G940" s="961"/>
      <c r="H940" s="958">
        <v>692</v>
      </c>
      <c r="I940" s="973"/>
      <c r="J940" s="973"/>
      <c r="K940" s="529"/>
      <c r="L940" s="961"/>
      <c r="M940" s="961"/>
      <c r="N940" s="983">
        <v>0</v>
      </c>
      <c r="O940" s="981"/>
      <c r="P940" s="772"/>
      <c r="Q940" s="812"/>
      <c r="R940" s="953"/>
    </row>
    <row r="941" spans="1:18" s="440" customFormat="1" ht="36" customHeight="1">
      <c r="A941" s="705"/>
      <c r="B941" s="972"/>
      <c r="C941" s="982"/>
      <c r="D941" s="438"/>
      <c r="E941" s="957" t="s">
        <v>461</v>
      </c>
      <c r="F941" s="961"/>
      <c r="G941" s="961"/>
      <c r="H941" s="958">
        <v>35817</v>
      </c>
      <c r="I941" s="973"/>
      <c r="J941" s="973"/>
      <c r="K941" s="529"/>
      <c r="L941" s="961"/>
      <c r="M941" s="961"/>
      <c r="N941" s="983">
        <v>4446</v>
      </c>
      <c r="O941" s="981"/>
      <c r="P941" s="772"/>
      <c r="Q941" s="812"/>
      <c r="R941" s="953"/>
    </row>
    <row r="942" spans="1:18" s="440" customFormat="1" ht="36" customHeight="1">
      <c r="A942" s="705"/>
      <c r="B942" s="972"/>
      <c r="C942" s="982"/>
      <c r="D942" s="438"/>
      <c r="E942" s="957" t="s">
        <v>462</v>
      </c>
      <c r="F942" s="961"/>
      <c r="G942" s="961"/>
      <c r="H942" s="958">
        <v>0</v>
      </c>
      <c r="I942" s="973"/>
      <c r="J942" s="973"/>
      <c r="K942" s="529"/>
      <c r="L942" s="961"/>
      <c r="M942" s="961"/>
      <c r="N942" s="983">
        <v>107373.08</v>
      </c>
      <c r="O942" s="981"/>
      <c r="P942" s="772"/>
      <c r="Q942" s="812"/>
      <c r="R942" s="953"/>
    </row>
    <row r="943" spans="1:18" s="440" customFormat="1" ht="62.25" customHeight="1">
      <c r="A943" s="705"/>
      <c r="B943" s="972"/>
      <c r="C943" s="982"/>
      <c r="D943" s="438"/>
      <c r="E943" s="957" t="s">
        <v>463</v>
      </c>
      <c r="F943" s="961"/>
      <c r="G943" s="961"/>
      <c r="H943" s="958">
        <v>0</v>
      </c>
      <c r="I943" s="973"/>
      <c r="J943" s="973"/>
      <c r="K943" s="529"/>
      <c r="L943" s="961"/>
      <c r="M943" s="961"/>
      <c r="N943" s="983">
        <v>1199.99</v>
      </c>
      <c r="O943" s="981"/>
      <c r="P943" s="772"/>
      <c r="Q943" s="812"/>
      <c r="R943" s="953"/>
    </row>
    <row r="944" spans="1:18" s="440" customFormat="1" ht="36" customHeight="1">
      <c r="A944" s="705"/>
      <c r="B944" s="972"/>
      <c r="C944" s="982"/>
      <c r="D944" s="438"/>
      <c r="E944" s="957" t="s">
        <v>464</v>
      </c>
      <c r="F944" s="961"/>
      <c r="G944" s="961"/>
      <c r="H944" s="958">
        <v>0</v>
      </c>
      <c r="I944" s="973"/>
      <c r="J944" s="973"/>
      <c r="K944" s="529"/>
      <c r="L944" s="961"/>
      <c r="M944" s="961"/>
      <c r="N944" s="983">
        <v>0</v>
      </c>
      <c r="O944" s="981"/>
      <c r="P944" s="772"/>
      <c r="Q944" s="812"/>
      <c r="R944" s="953"/>
    </row>
    <row r="945" spans="1:18" s="440" customFormat="1" ht="36" customHeight="1">
      <c r="A945" s="705"/>
      <c r="B945" s="972"/>
      <c r="C945" s="982"/>
      <c r="D945" s="438"/>
      <c r="E945" s="957" t="s">
        <v>465</v>
      </c>
      <c r="F945" s="961"/>
      <c r="G945" s="961"/>
      <c r="H945" s="958">
        <v>0</v>
      </c>
      <c r="I945" s="973"/>
      <c r="J945" s="973"/>
      <c r="K945" s="529"/>
      <c r="L945" s="961"/>
      <c r="M945" s="961"/>
      <c r="N945" s="983">
        <v>0</v>
      </c>
      <c r="O945" s="981"/>
      <c r="P945" s="772"/>
      <c r="Q945" s="812"/>
      <c r="R945" s="953"/>
    </row>
    <row r="946" spans="1:18" s="440" customFormat="1" ht="36" customHeight="1">
      <c r="A946" s="705"/>
      <c r="B946" s="972"/>
      <c r="C946" s="982"/>
      <c r="D946" s="438"/>
      <c r="E946" s="957" t="s">
        <v>466</v>
      </c>
      <c r="F946" s="961"/>
      <c r="G946" s="961"/>
      <c r="H946" s="958">
        <v>1674.81</v>
      </c>
      <c r="I946" s="973"/>
      <c r="J946" s="973"/>
      <c r="K946" s="529"/>
      <c r="L946" s="961"/>
      <c r="M946" s="961"/>
      <c r="N946" s="983">
        <v>0</v>
      </c>
      <c r="O946" s="981"/>
      <c r="P946" s="772"/>
      <c r="Q946" s="812"/>
      <c r="R946" s="953"/>
    </row>
    <row r="947" spans="1:18" s="440" customFormat="1" ht="57" customHeight="1">
      <c r="A947" s="705"/>
      <c r="B947" s="972"/>
      <c r="C947" s="982"/>
      <c r="D947" s="438"/>
      <c r="E947" s="945" t="s">
        <v>467</v>
      </c>
      <c r="F947" s="949">
        <v>117300</v>
      </c>
      <c r="G947" s="949">
        <v>111778</v>
      </c>
      <c r="H947" s="949">
        <v>74715.13</v>
      </c>
      <c r="I947" s="973"/>
      <c r="J947" s="973"/>
      <c r="K947" s="529"/>
      <c r="L947" s="949">
        <v>0</v>
      </c>
      <c r="M947" s="949">
        <v>0</v>
      </c>
      <c r="N947" s="977">
        <v>0</v>
      </c>
      <c r="O947" s="978">
        <v>0</v>
      </c>
      <c r="P947" s="772" t="s">
        <v>395</v>
      </c>
      <c r="Q947" s="812"/>
      <c r="R947" s="953"/>
    </row>
    <row r="948" spans="1:18" s="183" customFormat="1" ht="45" customHeight="1">
      <c r="A948" s="487"/>
      <c r="B948" s="173"/>
      <c r="C948" s="198">
        <v>3</v>
      </c>
      <c r="D948" s="463"/>
      <c r="E948" s="270" t="s">
        <v>508</v>
      </c>
      <c r="F948" s="524"/>
      <c r="G948" s="452"/>
      <c r="H948" s="452"/>
      <c r="I948" s="452"/>
      <c r="J948" s="455"/>
      <c r="K948" s="452">
        <v>268000</v>
      </c>
      <c r="L948" s="452">
        <f>L949+L968+L990</f>
        <v>268000</v>
      </c>
      <c r="M948" s="452">
        <f t="shared" ref="M948:N948" si="95">M949+M968+M990</f>
        <v>268000</v>
      </c>
      <c r="N948" s="452">
        <f t="shared" si="95"/>
        <v>115845.20999999999</v>
      </c>
      <c r="O948" s="873">
        <f>N948/M948</f>
        <v>0.43225824626865667</v>
      </c>
      <c r="P948" s="782" t="s">
        <v>395</v>
      </c>
      <c r="Q948" s="667"/>
    </row>
    <row r="949" spans="1:18" s="431" customFormat="1" ht="39.9" customHeight="1">
      <c r="A949" s="987"/>
      <c r="B949" s="944"/>
      <c r="C949" s="458"/>
      <c r="D949" s="444"/>
      <c r="E949" s="945" t="s">
        <v>412</v>
      </c>
      <c r="F949" s="976"/>
      <c r="G949" s="946"/>
      <c r="H949" s="946"/>
      <c r="I949" s="946"/>
      <c r="J949" s="947"/>
      <c r="K949" s="948"/>
      <c r="L949" s="949">
        <v>130000</v>
      </c>
      <c r="M949" s="949">
        <v>130000</v>
      </c>
      <c r="N949" s="977">
        <f>SUM(N951:N967)</f>
        <v>65218.38</v>
      </c>
      <c r="O949" s="978">
        <f>N949/M949</f>
        <v>0.50167984615384609</v>
      </c>
      <c r="P949" s="780" t="s">
        <v>395</v>
      </c>
      <c r="Q949" s="908"/>
      <c r="R949" s="951"/>
    </row>
    <row r="950" spans="1:18" s="440" customFormat="1" ht="34.5" customHeight="1">
      <c r="A950" s="984"/>
      <c r="B950" s="972"/>
      <c r="C950" s="450"/>
      <c r="D950" s="438"/>
      <c r="E950" s="952" t="s">
        <v>13</v>
      </c>
      <c r="F950" s="985"/>
      <c r="G950" s="973"/>
      <c r="H950" s="973"/>
      <c r="I950" s="973"/>
      <c r="J950" s="973"/>
      <c r="K950" s="383"/>
      <c r="L950" s="980"/>
      <c r="M950" s="980"/>
      <c r="N950" s="980"/>
      <c r="O950" s="981"/>
      <c r="P950" s="772"/>
      <c r="Q950" s="812"/>
      <c r="R950" s="953"/>
    </row>
    <row r="951" spans="1:18" s="440" customFormat="1" ht="36" customHeight="1">
      <c r="A951" s="984"/>
      <c r="B951" s="972"/>
      <c r="C951" s="450"/>
      <c r="D951" s="425"/>
      <c r="E951" s="954" t="s">
        <v>477</v>
      </c>
      <c r="F951" s="985"/>
      <c r="G951" s="973"/>
      <c r="H951" s="973"/>
      <c r="I951" s="973"/>
      <c r="J951" s="973"/>
      <c r="K951" s="383"/>
      <c r="L951" s="955"/>
      <c r="M951" s="955"/>
      <c r="N951" s="983">
        <v>0</v>
      </c>
      <c r="O951" s="981"/>
      <c r="P951" s="772"/>
      <c r="Q951" s="812"/>
      <c r="R951" s="953"/>
    </row>
    <row r="952" spans="1:18" s="440" customFormat="1" ht="57" customHeight="1">
      <c r="A952" s="984"/>
      <c r="B952" s="972"/>
      <c r="C952" s="450"/>
      <c r="D952" s="438"/>
      <c r="E952" s="954" t="s">
        <v>478</v>
      </c>
      <c r="F952" s="985"/>
      <c r="G952" s="973"/>
      <c r="H952" s="973"/>
      <c r="I952" s="973"/>
      <c r="J952" s="973"/>
      <c r="K952" s="383"/>
      <c r="L952" s="955"/>
      <c r="M952" s="955"/>
      <c r="N952" s="983">
        <v>0</v>
      </c>
      <c r="O952" s="981"/>
      <c r="P952" s="772"/>
      <c r="Q952" s="812"/>
      <c r="R952" s="953"/>
    </row>
    <row r="953" spans="1:18" s="440" customFormat="1" ht="36" customHeight="1">
      <c r="A953" s="984"/>
      <c r="B953" s="972"/>
      <c r="C953" s="450"/>
      <c r="D953" s="438"/>
      <c r="E953" s="954" t="s">
        <v>479</v>
      </c>
      <c r="F953" s="985"/>
      <c r="G953" s="973"/>
      <c r="H953" s="973"/>
      <c r="I953" s="973"/>
      <c r="J953" s="973"/>
      <c r="K953" s="383"/>
      <c r="L953" s="955"/>
      <c r="M953" s="955"/>
      <c r="N953" s="983">
        <v>0</v>
      </c>
      <c r="O953" s="981"/>
      <c r="P953" s="772"/>
      <c r="Q953" s="812"/>
      <c r="R953" s="953"/>
    </row>
    <row r="954" spans="1:18" s="440" customFormat="1" ht="36" customHeight="1">
      <c r="A954" s="984"/>
      <c r="B954" s="972"/>
      <c r="C954" s="450"/>
      <c r="D954" s="438"/>
      <c r="E954" s="954" t="s">
        <v>480</v>
      </c>
      <c r="F954" s="985"/>
      <c r="G954" s="973"/>
      <c r="H954" s="973"/>
      <c r="I954" s="973"/>
      <c r="J954" s="973"/>
      <c r="K954" s="383"/>
      <c r="L954" s="955"/>
      <c r="M954" s="955"/>
      <c r="N954" s="983">
        <v>0</v>
      </c>
      <c r="O954" s="981"/>
      <c r="P954" s="772"/>
      <c r="Q954" s="812"/>
      <c r="R954" s="953"/>
    </row>
    <row r="955" spans="1:18" s="440" customFormat="1" ht="36" customHeight="1">
      <c r="A955" s="984"/>
      <c r="B955" s="972"/>
      <c r="C955" s="450"/>
      <c r="D955" s="438"/>
      <c r="E955" s="954" t="s">
        <v>436</v>
      </c>
      <c r="F955" s="985"/>
      <c r="G955" s="973"/>
      <c r="H955" s="973"/>
      <c r="I955" s="973"/>
      <c r="J955" s="973"/>
      <c r="K955" s="383"/>
      <c r="L955" s="955"/>
      <c r="M955" s="955"/>
      <c r="N955" s="983">
        <v>0</v>
      </c>
      <c r="O955" s="981"/>
      <c r="P955" s="772"/>
      <c r="Q955" s="812"/>
      <c r="R955" s="953"/>
    </row>
    <row r="956" spans="1:18" s="440" customFormat="1" ht="36" customHeight="1">
      <c r="A956" s="984"/>
      <c r="B956" s="972"/>
      <c r="C956" s="450"/>
      <c r="D956" s="438"/>
      <c r="E956" s="954" t="s">
        <v>437</v>
      </c>
      <c r="F956" s="985"/>
      <c r="G956" s="973"/>
      <c r="H956" s="973"/>
      <c r="I956" s="973"/>
      <c r="J956" s="973"/>
      <c r="K956" s="383"/>
      <c r="L956" s="955"/>
      <c r="M956" s="955"/>
      <c r="N956" s="983">
        <v>0</v>
      </c>
      <c r="O956" s="981"/>
      <c r="P956" s="772"/>
      <c r="Q956" s="812"/>
      <c r="R956" s="953"/>
    </row>
    <row r="957" spans="1:18" s="440" customFormat="1" ht="36" customHeight="1">
      <c r="A957" s="984"/>
      <c r="B957" s="972"/>
      <c r="C957" s="450"/>
      <c r="D957" s="438"/>
      <c r="E957" s="954" t="s">
        <v>438</v>
      </c>
      <c r="F957" s="985"/>
      <c r="G957" s="973"/>
      <c r="H957" s="973"/>
      <c r="I957" s="973"/>
      <c r="J957" s="973"/>
      <c r="K957" s="383"/>
      <c r="L957" s="955"/>
      <c r="M957" s="955"/>
      <c r="N957" s="983">
        <v>0</v>
      </c>
      <c r="O957" s="981"/>
      <c r="P957" s="772"/>
      <c r="Q957" s="812"/>
      <c r="R957" s="953"/>
    </row>
    <row r="958" spans="1:18" s="440" customFormat="1" ht="36" customHeight="1">
      <c r="A958" s="984"/>
      <c r="B958" s="972"/>
      <c r="C958" s="450"/>
      <c r="D958" s="438"/>
      <c r="E958" s="954" t="s">
        <v>481</v>
      </c>
      <c r="F958" s="985"/>
      <c r="G958" s="973"/>
      <c r="H958" s="973"/>
      <c r="I958" s="973"/>
      <c r="J958" s="973"/>
      <c r="K958" s="383"/>
      <c r="L958" s="955"/>
      <c r="M958" s="955"/>
      <c r="N958" s="983">
        <v>0</v>
      </c>
      <c r="O958" s="981"/>
      <c r="P958" s="772"/>
      <c r="Q958" s="812"/>
      <c r="R958" s="953"/>
    </row>
    <row r="959" spans="1:18" s="440" customFormat="1" ht="36" customHeight="1">
      <c r="A959" s="984"/>
      <c r="B959" s="972"/>
      <c r="C959" s="450"/>
      <c r="D959" s="438"/>
      <c r="E959" s="954" t="s">
        <v>439</v>
      </c>
      <c r="F959" s="985"/>
      <c r="G959" s="973"/>
      <c r="H959" s="973"/>
      <c r="I959" s="973"/>
      <c r="J959" s="973"/>
      <c r="K959" s="383"/>
      <c r="L959" s="955"/>
      <c r="M959" s="955"/>
      <c r="N959" s="983">
        <v>0</v>
      </c>
      <c r="O959" s="981"/>
      <c r="P959" s="772"/>
      <c r="Q959" s="812"/>
      <c r="R959" s="953"/>
    </row>
    <row r="960" spans="1:18" s="440" customFormat="1" ht="36" customHeight="1">
      <c r="A960" s="984"/>
      <c r="B960" s="972"/>
      <c r="C960" s="450"/>
      <c r="D960" s="438"/>
      <c r="E960" s="954" t="s">
        <v>440</v>
      </c>
      <c r="F960" s="985"/>
      <c r="G960" s="973"/>
      <c r="H960" s="973"/>
      <c r="I960" s="973"/>
      <c r="J960" s="973"/>
      <c r="K960" s="383"/>
      <c r="L960" s="955"/>
      <c r="M960" s="955"/>
      <c r="N960" s="983">
        <v>0</v>
      </c>
      <c r="O960" s="981"/>
      <c r="P960" s="772"/>
      <c r="Q960" s="812"/>
      <c r="R960" s="953"/>
    </row>
    <row r="961" spans="1:18" s="440" customFormat="1" ht="36" customHeight="1">
      <c r="A961" s="984"/>
      <c r="B961" s="972"/>
      <c r="C961" s="450"/>
      <c r="D961" s="438"/>
      <c r="E961" s="954" t="s">
        <v>441</v>
      </c>
      <c r="F961" s="985"/>
      <c r="G961" s="973"/>
      <c r="H961" s="973"/>
      <c r="I961" s="973"/>
      <c r="J961" s="973"/>
      <c r="K961" s="383"/>
      <c r="L961" s="955"/>
      <c r="M961" s="955"/>
      <c r="N961" s="983">
        <v>0</v>
      </c>
      <c r="O961" s="981"/>
      <c r="P961" s="772"/>
      <c r="Q961" s="812"/>
      <c r="R961" s="953"/>
    </row>
    <row r="962" spans="1:18" s="440" customFormat="1" ht="57" customHeight="1">
      <c r="A962" s="984"/>
      <c r="B962" s="972"/>
      <c r="C962" s="450"/>
      <c r="D962" s="438"/>
      <c r="E962" s="954" t="s">
        <v>507</v>
      </c>
      <c r="F962" s="985"/>
      <c r="G962" s="973"/>
      <c r="H962" s="973"/>
      <c r="I962" s="973"/>
      <c r="J962" s="973"/>
      <c r="K962" s="383"/>
      <c r="L962" s="955"/>
      <c r="M962" s="955"/>
      <c r="N962" s="983">
        <v>47698.58</v>
      </c>
      <c r="O962" s="981"/>
      <c r="P962" s="772"/>
      <c r="Q962" s="812"/>
      <c r="R962" s="953"/>
    </row>
    <row r="963" spans="1:18" s="440" customFormat="1" ht="36" customHeight="1">
      <c r="A963" s="984"/>
      <c r="B963" s="972"/>
      <c r="C963" s="450"/>
      <c r="D963" s="438"/>
      <c r="E963" s="954" t="s">
        <v>442</v>
      </c>
      <c r="F963" s="985"/>
      <c r="G963" s="973"/>
      <c r="H963" s="973"/>
      <c r="I963" s="973"/>
      <c r="J963" s="973"/>
      <c r="K963" s="383"/>
      <c r="L963" s="955"/>
      <c r="M963" s="955"/>
      <c r="N963" s="983">
        <v>0</v>
      </c>
      <c r="O963" s="981"/>
      <c r="P963" s="772"/>
      <c r="Q963" s="812"/>
      <c r="R963" s="953"/>
    </row>
    <row r="964" spans="1:18" s="440" customFormat="1" ht="36" customHeight="1">
      <c r="A964" s="984"/>
      <c r="B964" s="972"/>
      <c r="C964" s="450"/>
      <c r="D964" s="438"/>
      <c r="E964" s="954" t="s">
        <v>443</v>
      </c>
      <c r="F964" s="985"/>
      <c r="G964" s="973"/>
      <c r="H964" s="973"/>
      <c r="I964" s="973"/>
      <c r="J964" s="973"/>
      <c r="K964" s="383"/>
      <c r="L964" s="955"/>
      <c r="M964" s="955"/>
      <c r="N964" s="983">
        <v>7174.88</v>
      </c>
      <c r="O964" s="981"/>
      <c r="P964" s="772"/>
      <c r="Q964" s="812"/>
      <c r="R964" s="953"/>
    </row>
    <row r="965" spans="1:18" s="440" customFormat="1" ht="36" customHeight="1">
      <c r="A965" s="984"/>
      <c r="B965" s="972"/>
      <c r="C965" s="450"/>
      <c r="D965" s="438"/>
      <c r="E965" s="954" t="s">
        <v>482</v>
      </c>
      <c r="F965" s="985"/>
      <c r="G965" s="973"/>
      <c r="H965" s="973"/>
      <c r="I965" s="973"/>
      <c r="J965" s="973"/>
      <c r="K965" s="383"/>
      <c r="L965" s="955"/>
      <c r="M965" s="955"/>
      <c r="N965" s="983">
        <v>0</v>
      </c>
      <c r="O965" s="981"/>
      <c r="P965" s="772"/>
      <c r="Q965" s="812"/>
      <c r="R965" s="953"/>
    </row>
    <row r="966" spans="1:18" s="440" customFormat="1" ht="36" customHeight="1">
      <c r="A966" s="984"/>
      <c r="B966" s="972"/>
      <c r="C966" s="450"/>
      <c r="D966" s="438"/>
      <c r="E966" s="954" t="s">
        <v>445</v>
      </c>
      <c r="F966" s="985"/>
      <c r="G966" s="973"/>
      <c r="H966" s="973"/>
      <c r="I966" s="973"/>
      <c r="J966" s="973"/>
      <c r="K966" s="383"/>
      <c r="L966" s="955"/>
      <c r="M966" s="955"/>
      <c r="N966" s="983">
        <v>0</v>
      </c>
      <c r="O966" s="981"/>
      <c r="P966" s="772"/>
      <c r="Q966" s="812"/>
      <c r="R966" s="953"/>
    </row>
    <row r="967" spans="1:18" s="440" customFormat="1" ht="36" customHeight="1">
      <c r="A967" s="984"/>
      <c r="B967" s="972"/>
      <c r="C967" s="450"/>
      <c r="D967" s="438"/>
      <c r="E967" s="954" t="s">
        <v>446</v>
      </c>
      <c r="F967" s="985"/>
      <c r="G967" s="973"/>
      <c r="H967" s="973"/>
      <c r="I967" s="973"/>
      <c r="J967" s="973"/>
      <c r="K967" s="383"/>
      <c r="L967" s="955"/>
      <c r="M967" s="955"/>
      <c r="N967" s="983">
        <v>10344.92</v>
      </c>
      <c r="O967" s="981"/>
      <c r="P967" s="772"/>
      <c r="Q967" s="812"/>
      <c r="R967" s="953"/>
    </row>
    <row r="968" spans="1:18" s="440" customFormat="1" ht="57" customHeight="1">
      <c r="A968" s="984"/>
      <c r="B968" s="972"/>
      <c r="C968" s="986"/>
      <c r="D968" s="438"/>
      <c r="E968" s="945" t="s">
        <v>418</v>
      </c>
      <c r="F968" s="949">
        <v>117300</v>
      </c>
      <c r="G968" s="949">
        <v>111778</v>
      </c>
      <c r="H968" s="949">
        <v>74715.13</v>
      </c>
      <c r="I968" s="973"/>
      <c r="J968" s="973"/>
      <c r="K968" s="529"/>
      <c r="L968" s="949">
        <v>138000</v>
      </c>
      <c r="M968" s="949">
        <v>138000</v>
      </c>
      <c r="N968" s="977">
        <f>SUM(N969:N989)</f>
        <v>50626.829999999994</v>
      </c>
      <c r="O968" s="978">
        <f>N968/M968</f>
        <v>0.3668610869565217</v>
      </c>
      <c r="P968" s="772" t="s">
        <v>395</v>
      </c>
      <c r="Q968" s="812"/>
      <c r="R968" s="953"/>
    </row>
    <row r="969" spans="1:18" s="440" customFormat="1" ht="82.5" customHeight="1">
      <c r="A969" s="984"/>
      <c r="B969" s="972"/>
      <c r="C969" s="986"/>
      <c r="D969" s="438"/>
      <c r="E969" s="957" t="s">
        <v>447</v>
      </c>
      <c r="F969" s="958"/>
      <c r="G969" s="958"/>
      <c r="H969" s="958">
        <v>0</v>
      </c>
      <c r="I969" s="973"/>
      <c r="J969" s="973"/>
      <c r="K969" s="529"/>
      <c r="L969" s="958"/>
      <c r="M969" s="958"/>
      <c r="N969" s="983">
        <v>121.77</v>
      </c>
      <c r="O969" s="981"/>
      <c r="P969" s="772"/>
      <c r="Q969" s="812"/>
      <c r="R969" s="953"/>
    </row>
    <row r="970" spans="1:18" s="440" customFormat="1" ht="36" customHeight="1">
      <c r="A970" s="984"/>
      <c r="B970" s="972"/>
      <c r="C970" s="986"/>
      <c r="D970" s="438"/>
      <c r="E970" s="957" t="s">
        <v>448</v>
      </c>
      <c r="F970" s="958"/>
      <c r="G970" s="958"/>
      <c r="H970" s="958">
        <v>0</v>
      </c>
      <c r="I970" s="973"/>
      <c r="J970" s="973"/>
      <c r="K970" s="529"/>
      <c r="L970" s="958"/>
      <c r="M970" s="958"/>
      <c r="N970" s="983">
        <v>0</v>
      </c>
      <c r="O970" s="981"/>
      <c r="P970" s="772"/>
      <c r="Q970" s="812"/>
      <c r="R970" s="953"/>
    </row>
    <row r="971" spans="1:18" s="440" customFormat="1" ht="36" customHeight="1">
      <c r="A971" s="984"/>
      <c r="B971" s="972"/>
      <c r="C971" s="986"/>
      <c r="D971" s="438"/>
      <c r="E971" s="957" t="s">
        <v>449</v>
      </c>
      <c r="F971" s="958"/>
      <c r="G971" s="958"/>
      <c r="H971" s="958">
        <v>0</v>
      </c>
      <c r="I971" s="973"/>
      <c r="J971" s="973"/>
      <c r="K971" s="529"/>
      <c r="L971" s="958"/>
      <c r="M971" s="958"/>
      <c r="N971" s="983">
        <v>0</v>
      </c>
      <c r="O971" s="981"/>
      <c r="P971" s="772"/>
      <c r="Q971" s="812"/>
      <c r="R971" s="953"/>
    </row>
    <row r="972" spans="1:18" s="440" customFormat="1" ht="36" customHeight="1">
      <c r="A972" s="984"/>
      <c r="B972" s="972"/>
      <c r="C972" s="986"/>
      <c r="D972" s="438"/>
      <c r="E972" s="957" t="s">
        <v>450</v>
      </c>
      <c r="F972" s="958"/>
      <c r="G972" s="958"/>
      <c r="H972" s="958">
        <v>0</v>
      </c>
      <c r="I972" s="973"/>
      <c r="J972" s="973"/>
      <c r="K972" s="529"/>
      <c r="L972" s="958"/>
      <c r="M972" s="958"/>
      <c r="N972" s="983">
        <v>0</v>
      </c>
      <c r="O972" s="981"/>
      <c r="P972" s="772"/>
      <c r="Q972" s="812"/>
      <c r="R972" s="953"/>
    </row>
    <row r="973" spans="1:18" s="440" customFormat="1" ht="36" customHeight="1">
      <c r="A973" s="984"/>
      <c r="B973" s="972"/>
      <c r="C973" s="986"/>
      <c r="D973" s="438"/>
      <c r="E973" s="957" t="s">
        <v>451</v>
      </c>
      <c r="F973" s="958"/>
      <c r="G973" s="958"/>
      <c r="H973" s="958">
        <v>0</v>
      </c>
      <c r="I973" s="973"/>
      <c r="J973" s="973"/>
      <c r="K973" s="529"/>
      <c r="L973" s="958"/>
      <c r="M973" s="958"/>
      <c r="N973" s="983">
        <v>0</v>
      </c>
      <c r="O973" s="981"/>
      <c r="P973" s="772"/>
      <c r="Q973" s="812"/>
      <c r="R973" s="953"/>
    </row>
    <row r="974" spans="1:18" s="440" customFormat="1" ht="38.25" customHeight="1">
      <c r="A974" s="984"/>
      <c r="B974" s="972"/>
      <c r="C974" s="986"/>
      <c r="D974" s="438"/>
      <c r="E974" s="960" t="s">
        <v>483</v>
      </c>
      <c r="F974" s="958"/>
      <c r="G974" s="958"/>
      <c r="H974" s="958">
        <v>4300</v>
      </c>
      <c r="I974" s="973"/>
      <c r="J974" s="973"/>
      <c r="K974" s="529"/>
      <c r="L974" s="958"/>
      <c r="M974" s="958"/>
      <c r="N974" s="983">
        <v>0</v>
      </c>
      <c r="O974" s="981"/>
      <c r="P974" s="772"/>
      <c r="Q974" s="812"/>
      <c r="R974" s="953"/>
    </row>
    <row r="975" spans="1:18" s="440" customFormat="1" ht="84" customHeight="1">
      <c r="A975" s="984"/>
      <c r="B975" s="972"/>
      <c r="C975" s="986"/>
      <c r="D975" s="438"/>
      <c r="E975" s="957" t="s">
        <v>452</v>
      </c>
      <c r="F975" s="958"/>
      <c r="G975" s="958"/>
      <c r="H975" s="958">
        <v>0</v>
      </c>
      <c r="I975" s="973"/>
      <c r="J975" s="973"/>
      <c r="K975" s="529"/>
      <c r="L975" s="958"/>
      <c r="M975" s="958"/>
      <c r="N975" s="983">
        <v>0</v>
      </c>
      <c r="O975" s="981"/>
      <c r="P975" s="772"/>
      <c r="Q975" s="812"/>
      <c r="R975" s="953"/>
    </row>
    <row r="976" spans="1:18" s="440" customFormat="1" ht="61.5" customHeight="1">
      <c r="A976" s="984"/>
      <c r="B976" s="972"/>
      <c r="C976" s="986"/>
      <c r="D976" s="438"/>
      <c r="E976" s="957" t="s">
        <v>453</v>
      </c>
      <c r="F976" s="958"/>
      <c r="G976" s="958"/>
      <c r="H976" s="958">
        <v>0</v>
      </c>
      <c r="I976" s="973"/>
      <c r="J976" s="973"/>
      <c r="K976" s="529"/>
      <c r="L976" s="958"/>
      <c r="M976" s="958"/>
      <c r="N976" s="983">
        <v>0</v>
      </c>
      <c r="O976" s="981"/>
      <c r="P976" s="772"/>
      <c r="Q976" s="812"/>
      <c r="R976" s="953"/>
    </row>
    <row r="977" spans="1:18" s="440" customFormat="1" ht="36" customHeight="1">
      <c r="A977" s="984"/>
      <c r="B977" s="972"/>
      <c r="C977" s="986"/>
      <c r="D977" s="438"/>
      <c r="E977" s="957" t="s">
        <v>454</v>
      </c>
      <c r="F977" s="958"/>
      <c r="G977" s="958"/>
      <c r="H977" s="958">
        <v>0</v>
      </c>
      <c r="I977" s="973"/>
      <c r="J977" s="973"/>
      <c r="K977" s="529"/>
      <c r="L977" s="958"/>
      <c r="M977" s="958"/>
      <c r="N977" s="983">
        <v>556.05999999999995</v>
      </c>
      <c r="O977" s="981"/>
      <c r="P977" s="772"/>
      <c r="Q977" s="812"/>
      <c r="R977" s="953"/>
    </row>
    <row r="978" spans="1:18" s="440" customFormat="1" ht="54.75" customHeight="1">
      <c r="A978" s="984"/>
      <c r="B978" s="972"/>
      <c r="C978" s="986"/>
      <c r="D978" s="438"/>
      <c r="E978" s="957" t="s">
        <v>455</v>
      </c>
      <c r="F978" s="958"/>
      <c r="G978" s="958"/>
      <c r="H978" s="958">
        <v>0</v>
      </c>
      <c r="I978" s="973"/>
      <c r="J978" s="973"/>
      <c r="K978" s="529"/>
      <c r="L978" s="958"/>
      <c r="M978" s="958"/>
      <c r="N978" s="983">
        <v>0</v>
      </c>
      <c r="O978" s="981"/>
      <c r="P978" s="772"/>
      <c r="Q978" s="812"/>
      <c r="R978" s="953"/>
    </row>
    <row r="979" spans="1:18" s="440" customFormat="1" ht="36" customHeight="1">
      <c r="A979" s="984"/>
      <c r="B979" s="972"/>
      <c r="C979" s="986"/>
      <c r="D979" s="438"/>
      <c r="E979" s="957" t="s">
        <v>456</v>
      </c>
      <c r="F979" s="958"/>
      <c r="G979" s="958"/>
      <c r="H979" s="958">
        <v>0</v>
      </c>
      <c r="I979" s="973"/>
      <c r="J979" s="973"/>
      <c r="K979" s="529"/>
      <c r="L979" s="958"/>
      <c r="M979" s="958"/>
      <c r="N979" s="983">
        <v>0</v>
      </c>
      <c r="O979" s="981"/>
      <c r="P979" s="772"/>
      <c r="Q979" s="812"/>
      <c r="R979" s="953"/>
    </row>
    <row r="980" spans="1:18" s="440" customFormat="1" ht="54.75" customHeight="1">
      <c r="A980" s="984"/>
      <c r="B980" s="972"/>
      <c r="C980" s="986"/>
      <c r="D980" s="438"/>
      <c r="E980" s="957" t="s">
        <v>457</v>
      </c>
      <c r="F980" s="958"/>
      <c r="G980" s="958"/>
      <c r="H980" s="958">
        <v>0</v>
      </c>
      <c r="I980" s="973"/>
      <c r="J980" s="973"/>
      <c r="K980" s="529"/>
      <c r="L980" s="958"/>
      <c r="M980" s="958"/>
      <c r="N980" s="983">
        <v>0</v>
      </c>
      <c r="O980" s="981"/>
      <c r="P980" s="772"/>
      <c r="Q980" s="812"/>
      <c r="R980" s="953"/>
    </row>
    <row r="981" spans="1:18" s="440" customFormat="1" ht="36" customHeight="1">
      <c r="A981" s="984"/>
      <c r="B981" s="972"/>
      <c r="C981" s="986"/>
      <c r="D981" s="438"/>
      <c r="E981" s="957" t="s">
        <v>458</v>
      </c>
      <c r="F981" s="961"/>
      <c r="G981" s="961"/>
      <c r="H981" s="958">
        <v>32231.32</v>
      </c>
      <c r="I981" s="973"/>
      <c r="J981" s="973"/>
      <c r="K981" s="529"/>
      <c r="L981" s="961"/>
      <c r="M981" s="961"/>
      <c r="N981" s="983">
        <v>952.05</v>
      </c>
      <c r="O981" s="981"/>
      <c r="P981" s="772"/>
      <c r="Q981" s="812"/>
      <c r="R981" s="953"/>
    </row>
    <row r="982" spans="1:18" s="440" customFormat="1" ht="36" customHeight="1">
      <c r="A982" s="984"/>
      <c r="B982" s="972"/>
      <c r="C982" s="986"/>
      <c r="D982" s="438"/>
      <c r="E982" s="957" t="s">
        <v>459</v>
      </c>
      <c r="F982" s="961"/>
      <c r="G982" s="961"/>
      <c r="H982" s="958">
        <v>0</v>
      </c>
      <c r="I982" s="973"/>
      <c r="J982" s="973"/>
      <c r="K982" s="529"/>
      <c r="L982" s="961"/>
      <c r="M982" s="961"/>
      <c r="N982" s="983">
        <v>0</v>
      </c>
      <c r="O982" s="981"/>
      <c r="P982" s="772"/>
      <c r="Q982" s="812"/>
      <c r="R982" s="953"/>
    </row>
    <row r="983" spans="1:18" s="440" customFormat="1" ht="36" customHeight="1">
      <c r="A983" s="984"/>
      <c r="B983" s="972"/>
      <c r="C983" s="986"/>
      <c r="D983" s="438"/>
      <c r="E983" s="957" t="s">
        <v>460</v>
      </c>
      <c r="F983" s="961"/>
      <c r="G983" s="961"/>
      <c r="H983" s="958">
        <v>692</v>
      </c>
      <c r="I983" s="973"/>
      <c r="J983" s="973"/>
      <c r="K983" s="529"/>
      <c r="L983" s="961"/>
      <c r="M983" s="961"/>
      <c r="N983" s="983">
        <v>0</v>
      </c>
      <c r="O983" s="981"/>
      <c r="P983" s="772"/>
      <c r="Q983" s="812"/>
      <c r="R983" s="953"/>
    </row>
    <row r="984" spans="1:18" s="440" customFormat="1" ht="36" customHeight="1">
      <c r="A984" s="984"/>
      <c r="B984" s="972"/>
      <c r="C984" s="986"/>
      <c r="D984" s="438"/>
      <c r="E984" s="957" t="s">
        <v>461</v>
      </c>
      <c r="F984" s="961"/>
      <c r="G984" s="961"/>
      <c r="H984" s="958">
        <v>35817</v>
      </c>
      <c r="I984" s="973"/>
      <c r="J984" s="973"/>
      <c r="K984" s="529"/>
      <c r="L984" s="961"/>
      <c r="M984" s="961"/>
      <c r="N984" s="983">
        <v>3112</v>
      </c>
      <c r="O984" s="981"/>
      <c r="P984" s="772"/>
      <c r="Q984" s="812"/>
      <c r="R984" s="953"/>
    </row>
    <row r="985" spans="1:18" s="440" customFormat="1" ht="36" customHeight="1">
      <c r="A985" s="984"/>
      <c r="B985" s="972"/>
      <c r="C985" s="986"/>
      <c r="D985" s="438"/>
      <c r="E985" s="957" t="s">
        <v>462</v>
      </c>
      <c r="F985" s="961"/>
      <c r="G985" s="961"/>
      <c r="H985" s="958">
        <v>0</v>
      </c>
      <c r="I985" s="973"/>
      <c r="J985" s="973"/>
      <c r="K985" s="529"/>
      <c r="L985" s="961"/>
      <c r="M985" s="961"/>
      <c r="N985" s="983">
        <v>45884.95</v>
      </c>
      <c r="O985" s="981"/>
      <c r="P985" s="772"/>
      <c r="Q985" s="812"/>
      <c r="R985" s="953"/>
    </row>
    <row r="986" spans="1:18" s="440" customFormat="1" ht="57.75" customHeight="1">
      <c r="A986" s="984"/>
      <c r="B986" s="972"/>
      <c r="C986" s="986"/>
      <c r="D986" s="438"/>
      <c r="E986" s="957" t="s">
        <v>463</v>
      </c>
      <c r="F986" s="961"/>
      <c r="G986" s="961"/>
      <c r="H986" s="958">
        <v>0</v>
      </c>
      <c r="I986" s="973"/>
      <c r="J986" s="973"/>
      <c r="K986" s="529"/>
      <c r="L986" s="961"/>
      <c r="M986" s="961"/>
      <c r="N986" s="983">
        <v>0</v>
      </c>
      <c r="O986" s="981"/>
      <c r="P986" s="772"/>
      <c r="Q986" s="812"/>
      <c r="R986" s="953"/>
    </row>
    <row r="987" spans="1:18" s="440" customFormat="1" ht="36" customHeight="1">
      <c r="A987" s="984"/>
      <c r="B987" s="972"/>
      <c r="C987" s="986"/>
      <c r="D987" s="438"/>
      <c r="E987" s="957" t="s">
        <v>464</v>
      </c>
      <c r="F987" s="961"/>
      <c r="G987" s="961"/>
      <c r="H987" s="958">
        <v>0</v>
      </c>
      <c r="I987" s="973"/>
      <c r="J987" s="973"/>
      <c r="K987" s="529"/>
      <c r="L987" s="961"/>
      <c r="M987" s="961"/>
      <c r="N987" s="983">
        <v>0</v>
      </c>
      <c r="O987" s="981"/>
      <c r="P987" s="772"/>
      <c r="Q987" s="812"/>
      <c r="R987" s="953"/>
    </row>
    <row r="988" spans="1:18" s="440" customFormat="1" ht="36" customHeight="1">
      <c r="A988" s="984"/>
      <c r="B988" s="972"/>
      <c r="C988" s="986"/>
      <c r="D988" s="438"/>
      <c r="E988" s="957" t="s">
        <v>465</v>
      </c>
      <c r="F988" s="961"/>
      <c r="G988" s="961"/>
      <c r="H988" s="958">
        <v>0</v>
      </c>
      <c r="I988" s="973"/>
      <c r="J988" s="973"/>
      <c r="K988" s="529"/>
      <c r="L988" s="961"/>
      <c r="M988" s="961"/>
      <c r="N988" s="983">
        <v>0</v>
      </c>
      <c r="O988" s="981"/>
      <c r="P988" s="772"/>
      <c r="Q988" s="812"/>
      <c r="R988" s="953"/>
    </row>
    <row r="989" spans="1:18" s="440" customFormat="1" ht="36" customHeight="1">
      <c r="A989" s="984"/>
      <c r="B989" s="972"/>
      <c r="C989" s="986"/>
      <c r="D989" s="438"/>
      <c r="E989" s="957" t="s">
        <v>466</v>
      </c>
      <c r="F989" s="961"/>
      <c r="G989" s="961"/>
      <c r="H989" s="958">
        <v>1674.81</v>
      </c>
      <c r="I989" s="973"/>
      <c r="J989" s="973"/>
      <c r="K989" s="529"/>
      <c r="L989" s="961"/>
      <c r="M989" s="961"/>
      <c r="N989" s="983">
        <v>0</v>
      </c>
      <c r="O989" s="981"/>
      <c r="P989" s="772"/>
      <c r="Q989" s="812"/>
      <c r="R989" s="953"/>
    </row>
    <row r="990" spans="1:18" s="440" customFormat="1" ht="57" customHeight="1">
      <c r="A990" s="984"/>
      <c r="B990" s="972"/>
      <c r="C990" s="986"/>
      <c r="D990" s="438"/>
      <c r="E990" s="945" t="s">
        <v>467</v>
      </c>
      <c r="F990" s="949">
        <v>117300</v>
      </c>
      <c r="G990" s="949">
        <v>111778</v>
      </c>
      <c r="H990" s="949">
        <v>74715.13</v>
      </c>
      <c r="I990" s="973"/>
      <c r="J990" s="973"/>
      <c r="K990" s="529"/>
      <c r="L990" s="949">
        <v>0</v>
      </c>
      <c r="M990" s="949">
        <v>0</v>
      </c>
      <c r="N990" s="949">
        <v>0</v>
      </c>
      <c r="O990" s="978">
        <v>0</v>
      </c>
      <c r="P990" s="772" t="s">
        <v>395</v>
      </c>
      <c r="Q990" s="812"/>
      <c r="R990" s="953"/>
    </row>
    <row r="991" spans="1:18" s="183" customFormat="1" ht="45" customHeight="1">
      <c r="A991" s="487"/>
      <c r="B991" s="173"/>
      <c r="C991" s="198">
        <v>4</v>
      </c>
      <c r="D991" s="463"/>
      <c r="E991" s="270" t="s">
        <v>260</v>
      </c>
      <c r="F991" s="524"/>
      <c r="G991" s="452"/>
      <c r="H991" s="452"/>
      <c r="I991" s="452"/>
      <c r="J991" s="455"/>
      <c r="K991" s="452">
        <v>448000</v>
      </c>
      <c r="L991" s="452">
        <f>L992+L1011+L1033</f>
        <v>448000</v>
      </c>
      <c r="M991" s="452">
        <f t="shared" ref="M991:N991" si="96">M992+M1011+M1033</f>
        <v>448000</v>
      </c>
      <c r="N991" s="452">
        <f t="shared" si="96"/>
        <v>181900.49</v>
      </c>
      <c r="O991" s="873">
        <f>N991/M991</f>
        <v>0.4060278794642857</v>
      </c>
      <c r="P991" s="782" t="s">
        <v>395</v>
      </c>
      <c r="Q991" s="667"/>
    </row>
    <row r="992" spans="1:18" s="431" customFormat="1" ht="49.5" customHeight="1">
      <c r="A992" s="987"/>
      <c r="B992" s="944"/>
      <c r="C992" s="458"/>
      <c r="D992" s="444"/>
      <c r="E992" s="945" t="s">
        <v>412</v>
      </c>
      <c r="F992" s="976"/>
      <c r="G992" s="946"/>
      <c r="H992" s="946"/>
      <c r="I992" s="946"/>
      <c r="J992" s="947"/>
      <c r="K992" s="948"/>
      <c r="L992" s="949">
        <v>210000</v>
      </c>
      <c r="M992" s="949">
        <v>210000</v>
      </c>
      <c r="N992" s="977">
        <f>SUM(N994:N1010)</f>
        <v>100271.78</v>
      </c>
      <c r="O992" s="978">
        <f>N992/M992</f>
        <v>0.47748466666666667</v>
      </c>
      <c r="P992" s="780" t="s">
        <v>395</v>
      </c>
      <c r="Q992" s="908"/>
      <c r="R992" s="951"/>
    </row>
    <row r="993" spans="1:20" s="440" customFormat="1" ht="34.5" customHeight="1">
      <c r="A993" s="984"/>
      <c r="B993" s="972"/>
      <c r="C993" s="450"/>
      <c r="D993" s="438"/>
      <c r="E993" s="952" t="s">
        <v>13</v>
      </c>
      <c r="F993" s="985"/>
      <c r="G993" s="973"/>
      <c r="H993" s="973"/>
      <c r="I993" s="973"/>
      <c r="J993" s="973"/>
      <c r="K993" s="383"/>
      <c r="L993" s="980"/>
      <c r="M993" s="980"/>
      <c r="N993" s="980"/>
      <c r="O993" s="981"/>
      <c r="P993" s="772"/>
      <c r="Q993" s="812"/>
      <c r="R993" s="953"/>
    </row>
    <row r="994" spans="1:20" s="440" customFormat="1" ht="36" customHeight="1">
      <c r="A994" s="984"/>
      <c r="B994" s="972"/>
      <c r="C994" s="450"/>
      <c r="D994" s="425"/>
      <c r="E994" s="954" t="s">
        <v>477</v>
      </c>
      <c r="F994" s="985"/>
      <c r="G994" s="973"/>
      <c r="H994" s="973"/>
      <c r="I994" s="973"/>
      <c r="J994" s="973"/>
      <c r="K994" s="383"/>
      <c r="L994" s="955"/>
      <c r="M994" s="955"/>
      <c r="N994" s="983">
        <v>0</v>
      </c>
      <c r="O994" s="981"/>
      <c r="P994" s="772"/>
      <c r="Q994" s="812"/>
      <c r="R994" s="953"/>
      <c r="S994" s="256"/>
      <c r="T994" s="256"/>
    </row>
    <row r="995" spans="1:20" s="440" customFormat="1" ht="57" customHeight="1">
      <c r="A995" s="984"/>
      <c r="B995" s="972"/>
      <c r="C995" s="450"/>
      <c r="D995" s="438"/>
      <c r="E995" s="954" t="s">
        <v>478</v>
      </c>
      <c r="F995" s="985"/>
      <c r="G995" s="973"/>
      <c r="H995" s="973"/>
      <c r="I995" s="973"/>
      <c r="J995" s="973"/>
      <c r="K995" s="383"/>
      <c r="L995" s="955"/>
      <c r="M995" s="955"/>
      <c r="N995" s="983">
        <v>0</v>
      </c>
      <c r="O995" s="981"/>
      <c r="P995" s="772"/>
      <c r="Q995" s="812"/>
      <c r="R995" s="953"/>
    </row>
    <row r="996" spans="1:20" s="440" customFormat="1" ht="36" customHeight="1">
      <c r="A996" s="984"/>
      <c r="B996" s="972"/>
      <c r="C996" s="450"/>
      <c r="D996" s="438"/>
      <c r="E996" s="954" t="s">
        <v>479</v>
      </c>
      <c r="F996" s="985"/>
      <c r="G996" s="973"/>
      <c r="H996" s="973"/>
      <c r="I996" s="973"/>
      <c r="J996" s="973"/>
      <c r="K996" s="383"/>
      <c r="L996" s="955"/>
      <c r="M996" s="955"/>
      <c r="N996" s="983">
        <v>0</v>
      </c>
      <c r="O996" s="981"/>
      <c r="P996" s="772"/>
      <c r="Q996" s="812"/>
      <c r="R996" s="953"/>
    </row>
    <row r="997" spans="1:20" s="440" customFormat="1" ht="36" customHeight="1">
      <c r="A997" s="984"/>
      <c r="B997" s="972"/>
      <c r="C997" s="450"/>
      <c r="D997" s="438"/>
      <c r="E997" s="954" t="s">
        <v>480</v>
      </c>
      <c r="F997" s="985"/>
      <c r="G997" s="973"/>
      <c r="H997" s="973"/>
      <c r="I997" s="973"/>
      <c r="J997" s="973"/>
      <c r="K997" s="383"/>
      <c r="L997" s="955"/>
      <c r="M997" s="955"/>
      <c r="N997" s="983">
        <v>0</v>
      </c>
      <c r="O997" s="981"/>
      <c r="P997" s="772"/>
      <c r="Q997" s="812"/>
      <c r="R997" s="953"/>
    </row>
    <row r="998" spans="1:20" s="440" customFormat="1" ht="36" customHeight="1">
      <c r="A998" s="984"/>
      <c r="B998" s="972"/>
      <c r="C998" s="450"/>
      <c r="D998" s="438"/>
      <c r="E998" s="954" t="s">
        <v>436</v>
      </c>
      <c r="F998" s="985"/>
      <c r="G998" s="973"/>
      <c r="H998" s="973"/>
      <c r="I998" s="973"/>
      <c r="J998" s="973"/>
      <c r="K998" s="383"/>
      <c r="L998" s="955"/>
      <c r="M998" s="955"/>
      <c r="N998" s="983">
        <v>0</v>
      </c>
      <c r="O998" s="981"/>
      <c r="P998" s="772"/>
      <c r="Q998" s="812"/>
      <c r="R998" s="953"/>
    </row>
    <row r="999" spans="1:20" s="440" customFormat="1" ht="36" customHeight="1">
      <c r="A999" s="984"/>
      <c r="B999" s="972"/>
      <c r="C999" s="450"/>
      <c r="D999" s="438"/>
      <c r="E999" s="954" t="s">
        <v>437</v>
      </c>
      <c r="F999" s="985"/>
      <c r="G999" s="973"/>
      <c r="H999" s="973"/>
      <c r="I999" s="973"/>
      <c r="J999" s="973"/>
      <c r="K999" s="383"/>
      <c r="L999" s="955"/>
      <c r="M999" s="955"/>
      <c r="N999" s="983">
        <v>0</v>
      </c>
      <c r="O999" s="981"/>
      <c r="P999" s="772"/>
      <c r="Q999" s="812"/>
      <c r="R999" s="953"/>
    </row>
    <row r="1000" spans="1:20" s="440" customFormat="1" ht="36" customHeight="1">
      <c r="A1000" s="984"/>
      <c r="B1000" s="972"/>
      <c r="C1000" s="450"/>
      <c r="D1000" s="438"/>
      <c r="E1000" s="954" t="s">
        <v>438</v>
      </c>
      <c r="F1000" s="985"/>
      <c r="G1000" s="973"/>
      <c r="H1000" s="973"/>
      <c r="I1000" s="973"/>
      <c r="J1000" s="973"/>
      <c r="K1000" s="383"/>
      <c r="L1000" s="955"/>
      <c r="M1000" s="955"/>
      <c r="N1000" s="983">
        <v>0</v>
      </c>
      <c r="O1000" s="981"/>
      <c r="P1000" s="772"/>
      <c r="Q1000" s="812"/>
      <c r="R1000" s="953"/>
    </row>
    <row r="1001" spans="1:20" s="440" customFormat="1" ht="36" customHeight="1">
      <c r="A1001" s="984"/>
      <c r="B1001" s="972"/>
      <c r="C1001" s="450"/>
      <c r="D1001" s="438"/>
      <c r="E1001" s="954" t="s">
        <v>516</v>
      </c>
      <c r="F1001" s="985"/>
      <c r="G1001" s="973"/>
      <c r="H1001" s="973"/>
      <c r="I1001" s="973"/>
      <c r="J1001" s="973"/>
      <c r="K1001" s="383"/>
      <c r="L1001" s="955"/>
      <c r="M1001" s="955"/>
      <c r="N1001" s="983">
        <v>0</v>
      </c>
      <c r="O1001" s="981"/>
      <c r="P1001" s="772"/>
      <c r="Q1001" s="812"/>
      <c r="R1001" s="953"/>
    </row>
    <row r="1002" spans="1:20" s="440" customFormat="1" ht="36" customHeight="1">
      <c r="A1002" s="984"/>
      <c r="B1002" s="972"/>
      <c r="C1002" s="450"/>
      <c r="D1002" s="438"/>
      <c r="E1002" s="954" t="s">
        <v>439</v>
      </c>
      <c r="F1002" s="985"/>
      <c r="G1002" s="973"/>
      <c r="H1002" s="973"/>
      <c r="I1002" s="973"/>
      <c r="J1002" s="973"/>
      <c r="K1002" s="383"/>
      <c r="L1002" s="955"/>
      <c r="M1002" s="955"/>
      <c r="N1002" s="983">
        <v>0</v>
      </c>
      <c r="O1002" s="981"/>
      <c r="P1002" s="772"/>
      <c r="Q1002" s="812"/>
      <c r="R1002" s="953"/>
    </row>
    <row r="1003" spans="1:20" s="440" customFormat="1" ht="36" customHeight="1">
      <c r="A1003" s="984"/>
      <c r="B1003" s="972"/>
      <c r="C1003" s="450"/>
      <c r="D1003" s="438"/>
      <c r="E1003" s="954" t="s">
        <v>440</v>
      </c>
      <c r="F1003" s="985"/>
      <c r="G1003" s="973"/>
      <c r="H1003" s="973"/>
      <c r="I1003" s="973"/>
      <c r="J1003" s="973"/>
      <c r="K1003" s="383"/>
      <c r="L1003" s="955"/>
      <c r="M1003" s="955"/>
      <c r="N1003" s="983">
        <v>0</v>
      </c>
      <c r="O1003" s="981"/>
      <c r="P1003" s="772"/>
      <c r="Q1003" s="812"/>
      <c r="R1003" s="953"/>
    </row>
    <row r="1004" spans="1:20" s="440" customFormat="1" ht="36" customHeight="1">
      <c r="A1004" s="984"/>
      <c r="B1004" s="972"/>
      <c r="C1004" s="450"/>
      <c r="D1004" s="438"/>
      <c r="E1004" s="954" t="s">
        <v>441</v>
      </c>
      <c r="F1004" s="985"/>
      <c r="G1004" s="973"/>
      <c r="H1004" s="973"/>
      <c r="I1004" s="973"/>
      <c r="J1004" s="973"/>
      <c r="K1004" s="383"/>
      <c r="L1004" s="955"/>
      <c r="M1004" s="955"/>
      <c r="N1004" s="983">
        <v>0</v>
      </c>
      <c r="O1004" s="981"/>
      <c r="P1004" s="772"/>
      <c r="Q1004" s="812"/>
      <c r="R1004" s="953"/>
    </row>
    <row r="1005" spans="1:20" s="440" customFormat="1" ht="57" customHeight="1">
      <c r="A1005" s="984"/>
      <c r="B1005" s="972"/>
      <c r="C1005" s="450"/>
      <c r="D1005" s="438"/>
      <c r="E1005" s="954" t="s">
        <v>517</v>
      </c>
      <c r="F1005" s="985"/>
      <c r="G1005" s="973"/>
      <c r="H1005" s="973"/>
      <c r="I1005" s="973"/>
      <c r="J1005" s="973"/>
      <c r="K1005" s="383"/>
      <c r="L1005" s="955"/>
      <c r="M1005" s="955"/>
      <c r="N1005" s="983">
        <v>74380.98</v>
      </c>
      <c r="O1005" s="981"/>
      <c r="P1005" s="772"/>
      <c r="Q1005" s="812"/>
      <c r="R1005" s="953"/>
    </row>
    <row r="1006" spans="1:20" s="440" customFormat="1" ht="36" customHeight="1">
      <c r="A1006" s="984"/>
      <c r="B1006" s="972"/>
      <c r="C1006" s="450"/>
      <c r="D1006" s="438"/>
      <c r="E1006" s="954" t="s">
        <v>442</v>
      </c>
      <c r="F1006" s="985"/>
      <c r="G1006" s="973"/>
      <c r="H1006" s="973"/>
      <c r="I1006" s="973"/>
      <c r="J1006" s="973"/>
      <c r="K1006" s="383"/>
      <c r="L1006" s="955"/>
      <c r="M1006" s="955"/>
      <c r="N1006" s="983">
        <v>0</v>
      </c>
      <c r="O1006" s="981"/>
      <c r="P1006" s="772"/>
      <c r="Q1006" s="812"/>
      <c r="R1006" s="953"/>
    </row>
    <row r="1007" spans="1:20" s="440" customFormat="1" ht="36" customHeight="1">
      <c r="A1007" s="984"/>
      <c r="B1007" s="972"/>
      <c r="C1007" s="450"/>
      <c r="D1007" s="438"/>
      <c r="E1007" s="954" t="s">
        <v>443</v>
      </c>
      <c r="F1007" s="985"/>
      <c r="G1007" s="973"/>
      <c r="H1007" s="973"/>
      <c r="I1007" s="973"/>
      <c r="J1007" s="973"/>
      <c r="K1007" s="383"/>
      <c r="L1007" s="955"/>
      <c r="M1007" s="955"/>
      <c r="N1007" s="983">
        <v>11645.02</v>
      </c>
      <c r="O1007" s="981"/>
      <c r="P1007" s="772"/>
      <c r="Q1007" s="812"/>
      <c r="R1007" s="953"/>
    </row>
    <row r="1008" spans="1:20" s="440" customFormat="1" ht="36" customHeight="1">
      <c r="A1008" s="984"/>
      <c r="B1008" s="972"/>
      <c r="C1008" s="450"/>
      <c r="D1008" s="438"/>
      <c r="E1008" s="954" t="s">
        <v>482</v>
      </c>
      <c r="F1008" s="985"/>
      <c r="G1008" s="973"/>
      <c r="H1008" s="973"/>
      <c r="I1008" s="973"/>
      <c r="J1008" s="973"/>
      <c r="K1008" s="383"/>
      <c r="L1008" s="955"/>
      <c r="M1008" s="955"/>
      <c r="N1008" s="983">
        <v>0</v>
      </c>
      <c r="O1008" s="981"/>
      <c r="P1008" s="772"/>
      <c r="Q1008" s="812"/>
      <c r="R1008" s="953"/>
    </row>
    <row r="1009" spans="1:18" s="440" customFormat="1" ht="36" customHeight="1">
      <c r="A1009" s="984"/>
      <c r="B1009" s="972"/>
      <c r="C1009" s="450"/>
      <c r="D1009" s="438"/>
      <c r="E1009" s="954" t="s">
        <v>445</v>
      </c>
      <c r="F1009" s="985"/>
      <c r="G1009" s="973"/>
      <c r="H1009" s="973"/>
      <c r="I1009" s="973"/>
      <c r="J1009" s="973"/>
      <c r="K1009" s="383"/>
      <c r="L1009" s="955"/>
      <c r="M1009" s="955"/>
      <c r="N1009" s="983">
        <v>0</v>
      </c>
      <c r="O1009" s="981"/>
      <c r="P1009" s="772"/>
      <c r="Q1009" s="812"/>
      <c r="R1009" s="953"/>
    </row>
    <row r="1010" spans="1:18" s="440" customFormat="1" ht="36" customHeight="1">
      <c r="A1010" s="984"/>
      <c r="B1010" s="972"/>
      <c r="C1010" s="450"/>
      <c r="D1010" s="438"/>
      <c r="E1010" s="954" t="s">
        <v>446</v>
      </c>
      <c r="F1010" s="985"/>
      <c r="G1010" s="973"/>
      <c r="H1010" s="973"/>
      <c r="I1010" s="973"/>
      <c r="J1010" s="973"/>
      <c r="K1010" s="383"/>
      <c r="L1010" s="955"/>
      <c r="M1010" s="955"/>
      <c r="N1010" s="983">
        <v>14245.78</v>
      </c>
      <c r="O1010" s="981"/>
      <c r="P1010" s="772"/>
      <c r="Q1010" s="812"/>
      <c r="R1010" s="953"/>
    </row>
    <row r="1011" spans="1:18" s="440" customFormat="1" ht="57" customHeight="1">
      <c r="A1011" s="984"/>
      <c r="B1011" s="972"/>
      <c r="C1011" s="986"/>
      <c r="D1011" s="438"/>
      <c r="E1011" s="945" t="s">
        <v>418</v>
      </c>
      <c r="F1011" s="949">
        <v>117300</v>
      </c>
      <c r="G1011" s="949">
        <v>111778</v>
      </c>
      <c r="H1011" s="949">
        <v>74715.13</v>
      </c>
      <c r="I1011" s="973"/>
      <c r="J1011" s="973"/>
      <c r="K1011" s="529"/>
      <c r="L1011" s="949">
        <v>238000</v>
      </c>
      <c r="M1011" s="949">
        <v>238000</v>
      </c>
      <c r="N1011" s="977">
        <f>SUM(N1012:N1032)</f>
        <v>81628.710000000006</v>
      </c>
      <c r="O1011" s="978">
        <f>N1011/M1011</f>
        <v>0.34297777310924371</v>
      </c>
      <c r="P1011" s="772" t="s">
        <v>395</v>
      </c>
      <c r="Q1011" s="812"/>
      <c r="R1011" s="953"/>
    </row>
    <row r="1012" spans="1:18" s="440" customFormat="1" ht="62.25" customHeight="1">
      <c r="A1012" s="984"/>
      <c r="B1012" s="972"/>
      <c r="C1012" s="986"/>
      <c r="D1012" s="438"/>
      <c r="E1012" s="957" t="s">
        <v>447</v>
      </c>
      <c r="F1012" s="958"/>
      <c r="G1012" s="958"/>
      <c r="H1012" s="958">
        <v>0</v>
      </c>
      <c r="I1012" s="973"/>
      <c r="J1012" s="973"/>
      <c r="K1012" s="529"/>
      <c r="L1012" s="958"/>
      <c r="M1012" s="958"/>
      <c r="N1012" s="983">
        <v>0</v>
      </c>
      <c r="O1012" s="981"/>
      <c r="P1012" s="772"/>
      <c r="Q1012" s="812"/>
      <c r="R1012" s="953"/>
    </row>
    <row r="1013" spans="1:18" s="440" customFormat="1" ht="36" customHeight="1">
      <c r="A1013" s="984"/>
      <c r="B1013" s="972"/>
      <c r="C1013" s="986"/>
      <c r="D1013" s="438"/>
      <c r="E1013" s="957" t="s">
        <v>448</v>
      </c>
      <c r="F1013" s="958"/>
      <c r="G1013" s="958"/>
      <c r="H1013" s="958">
        <v>0</v>
      </c>
      <c r="I1013" s="973"/>
      <c r="J1013" s="973"/>
      <c r="K1013" s="529"/>
      <c r="L1013" s="958"/>
      <c r="M1013" s="958"/>
      <c r="N1013" s="983">
        <v>0</v>
      </c>
      <c r="O1013" s="981"/>
      <c r="P1013" s="772"/>
      <c r="Q1013" s="812"/>
      <c r="R1013" s="953"/>
    </row>
    <row r="1014" spans="1:18" s="440" customFormat="1" ht="36" customHeight="1">
      <c r="A1014" s="984"/>
      <c r="B1014" s="972"/>
      <c r="C1014" s="986"/>
      <c r="D1014" s="438"/>
      <c r="E1014" s="957" t="s">
        <v>449</v>
      </c>
      <c r="F1014" s="958"/>
      <c r="G1014" s="958"/>
      <c r="H1014" s="958">
        <v>0</v>
      </c>
      <c r="I1014" s="973"/>
      <c r="J1014" s="973"/>
      <c r="K1014" s="529"/>
      <c r="L1014" s="958"/>
      <c r="M1014" s="958"/>
      <c r="N1014" s="983">
        <v>0</v>
      </c>
      <c r="O1014" s="981"/>
      <c r="P1014" s="772"/>
      <c r="Q1014" s="812"/>
      <c r="R1014" s="953"/>
    </row>
    <row r="1015" spans="1:18" s="440" customFormat="1" ht="36" customHeight="1">
      <c r="A1015" s="984"/>
      <c r="B1015" s="972"/>
      <c r="C1015" s="986"/>
      <c r="D1015" s="438"/>
      <c r="E1015" s="957" t="s">
        <v>450</v>
      </c>
      <c r="F1015" s="958"/>
      <c r="G1015" s="958"/>
      <c r="H1015" s="958">
        <v>0</v>
      </c>
      <c r="I1015" s="973"/>
      <c r="J1015" s="973"/>
      <c r="K1015" s="529"/>
      <c r="L1015" s="958"/>
      <c r="M1015" s="958"/>
      <c r="N1015" s="983">
        <v>0</v>
      </c>
      <c r="O1015" s="981"/>
      <c r="P1015" s="772"/>
      <c r="Q1015" s="812"/>
      <c r="R1015" s="953"/>
    </row>
    <row r="1016" spans="1:18" s="440" customFormat="1" ht="36" customHeight="1">
      <c r="A1016" s="984"/>
      <c r="B1016" s="972"/>
      <c r="C1016" s="986"/>
      <c r="D1016" s="438"/>
      <c r="E1016" s="957" t="s">
        <v>451</v>
      </c>
      <c r="F1016" s="958"/>
      <c r="G1016" s="958"/>
      <c r="H1016" s="958">
        <v>0</v>
      </c>
      <c r="I1016" s="973"/>
      <c r="J1016" s="973"/>
      <c r="K1016" s="529"/>
      <c r="L1016" s="958"/>
      <c r="M1016" s="958"/>
      <c r="N1016" s="983">
        <v>0</v>
      </c>
      <c r="O1016" s="981"/>
      <c r="P1016" s="772"/>
      <c r="Q1016" s="812"/>
      <c r="R1016" s="953"/>
    </row>
    <row r="1017" spans="1:18" s="440" customFormat="1" ht="36" customHeight="1">
      <c r="A1017" s="984"/>
      <c r="B1017" s="972"/>
      <c r="C1017" s="986"/>
      <c r="D1017" s="438"/>
      <c r="E1017" s="960" t="s">
        <v>483</v>
      </c>
      <c r="F1017" s="958"/>
      <c r="G1017" s="958"/>
      <c r="H1017" s="958">
        <v>4300</v>
      </c>
      <c r="I1017" s="973"/>
      <c r="J1017" s="973"/>
      <c r="K1017" s="529"/>
      <c r="L1017" s="958"/>
      <c r="M1017" s="958"/>
      <c r="N1017" s="983">
        <v>0</v>
      </c>
      <c r="O1017" s="981"/>
      <c r="P1017" s="772"/>
      <c r="Q1017" s="812"/>
      <c r="R1017" s="953"/>
    </row>
    <row r="1018" spans="1:18" s="440" customFormat="1" ht="84" customHeight="1">
      <c r="A1018" s="984"/>
      <c r="B1018" s="972"/>
      <c r="C1018" s="986"/>
      <c r="D1018" s="438"/>
      <c r="E1018" s="957" t="s">
        <v>452</v>
      </c>
      <c r="F1018" s="958"/>
      <c r="G1018" s="958"/>
      <c r="H1018" s="958">
        <v>0</v>
      </c>
      <c r="I1018" s="973"/>
      <c r="J1018" s="973"/>
      <c r="K1018" s="529"/>
      <c r="L1018" s="958"/>
      <c r="M1018" s="958"/>
      <c r="N1018" s="983">
        <v>0</v>
      </c>
      <c r="O1018" s="981"/>
      <c r="P1018" s="772"/>
      <c r="Q1018" s="812"/>
      <c r="R1018" s="953"/>
    </row>
    <row r="1019" spans="1:18" s="440" customFormat="1" ht="54.75" customHeight="1">
      <c r="A1019" s="984"/>
      <c r="B1019" s="972"/>
      <c r="C1019" s="986"/>
      <c r="D1019" s="438"/>
      <c r="E1019" s="957" t="s">
        <v>453</v>
      </c>
      <c r="F1019" s="958"/>
      <c r="G1019" s="958"/>
      <c r="H1019" s="958">
        <v>0</v>
      </c>
      <c r="I1019" s="973"/>
      <c r="J1019" s="973"/>
      <c r="K1019" s="529"/>
      <c r="L1019" s="958"/>
      <c r="M1019" s="958"/>
      <c r="N1019" s="983">
        <v>0</v>
      </c>
      <c r="O1019" s="981"/>
      <c r="P1019" s="772"/>
      <c r="Q1019" s="812"/>
      <c r="R1019" s="953"/>
    </row>
    <row r="1020" spans="1:18" s="440" customFormat="1" ht="36" customHeight="1">
      <c r="A1020" s="984"/>
      <c r="B1020" s="972"/>
      <c r="C1020" s="986"/>
      <c r="D1020" s="438"/>
      <c r="E1020" s="957" t="s">
        <v>454</v>
      </c>
      <c r="F1020" s="958"/>
      <c r="G1020" s="958"/>
      <c r="H1020" s="958">
        <v>0</v>
      </c>
      <c r="I1020" s="973"/>
      <c r="J1020" s="973"/>
      <c r="K1020" s="529"/>
      <c r="L1020" s="958"/>
      <c r="M1020" s="958"/>
      <c r="N1020" s="983">
        <v>0</v>
      </c>
      <c r="O1020" s="981"/>
      <c r="P1020" s="772"/>
      <c r="Q1020" s="812"/>
      <c r="R1020" s="953"/>
    </row>
    <row r="1021" spans="1:18" s="440" customFormat="1" ht="54.75" customHeight="1">
      <c r="A1021" s="984"/>
      <c r="B1021" s="972"/>
      <c r="C1021" s="986"/>
      <c r="D1021" s="438"/>
      <c r="E1021" s="957" t="s">
        <v>455</v>
      </c>
      <c r="F1021" s="958"/>
      <c r="G1021" s="958"/>
      <c r="H1021" s="958">
        <v>0</v>
      </c>
      <c r="I1021" s="973"/>
      <c r="J1021" s="973"/>
      <c r="K1021" s="529"/>
      <c r="L1021" s="958"/>
      <c r="M1021" s="958"/>
      <c r="N1021" s="983">
        <v>0</v>
      </c>
      <c r="O1021" s="981"/>
      <c r="P1021" s="772"/>
      <c r="Q1021" s="812"/>
      <c r="R1021" s="953"/>
    </row>
    <row r="1022" spans="1:18" s="440" customFormat="1" ht="36" customHeight="1">
      <c r="A1022" s="984"/>
      <c r="B1022" s="972"/>
      <c r="C1022" s="986"/>
      <c r="D1022" s="438"/>
      <c r="E1022" s="957" t="s">
        <v>456</v>
      </c>
      <c r="F1022" s="958"/>
      <c r="G1022" s="958"/>
      <c r="H1022" s="958">
        <v>0</v>
      </c>
      <c r="I1022" s="973"/>
      <c r="J1022" s="973"/>
      <c r="K1022" s="529"/>
      <c r="L1022" s="958"/>
      <c r="M1022" s="958"/>
      <c r="N1022" s="983">
        <v>0</v>
      </c>
      <c r="O1022" s="981"/>
      <c r="P1022" s="772"/>
      <c r="Q1022" s="812"/>
      <c r="R1022" s="953"/>
    </row>
    <row r="1023" spans="1:18" s="440" customFormat="1" ht="59.25" customHeight="1">
      <c r="A1023" s="984"/>
      <c r="B1023" s="972"/>
      <c r="C1023" s="986"/>
      <c r="D1023" s="438"/>
      <c r="E1023" s="957" t="s">
        <v>457</v>
      </c>
      <c r="F1023" s="958"/>
      <c r="G1023" s="958"/>
      <c r="H1023" s="958">
        <v>0</v>
      </c>
      <c r="I1023" s="973"/>
      <c r="J1023" s="973"/>
      <c r="K1023" s="529"/>
      <c r="L1023" s="958"/>
      <c r="M1023" s="958"/>
      <c r="N1023" s="983">
        <v>0</v>
      </c>
      <c r="O1023" s="981"/>
      <c r="P1023" s="772"/>
      <c r="Q1023" s="812"/>
      <c r="R1023" s="953"/>
    </row>
    <row r="1024" spans="1:18" s="440" customFormat="1" ht="36" customHeight="1">
      <c r="A1024" s="984"/>
      <c r="B1024" s="972"/>
      <c r="C1024" s="986"/>
      <c r="D1024" s="438"/>
      <c r="E1024" s="957" t="s">
        <v>458</v>
      </c>
      <c r="F1024" s="961"/>
      <c r="G1024" s="961"/>
      <c r="H1024" s="958">
        <v>32231.32</v>
      </c>
      <c r="I1024" s="973"/>
      <c r="J1024" s="973"/>
      <c r="K1024" s="529"/>
      <c r="L1024" s="961"/>
      <c r="M1024" s="961"/>
      <c r="N1024" s="983">
        <v>1303.03</v>
      </c>
      <c r="O1024" s="981"/>
      <c r="P1024" s="772"/>
      <c r="Q1024" s="812"/>
      <c r="R1024" s="953"/>
    </row>
    <row r="1025" spans="1:18" s="440" customFormat="1" ht="36" customHeight="1">
      <c r="A1025" s="984"/>
      <c r="B1025" s="972"/>
      <c r="C1025" s="986"/>
      <c r="D1025" s="438"/>
      <c r="E1025" s="957" t="s">
        <v>459</v>
      </c>
      <c r="F1025" s="961"/>
      <c r="G1025" s="961"/>
      <c r="H1025" s="958">
        <v>0</v>
      </c>
      <c r="I1025" s="973"/>
      <c r="J1025" s="973"/>
      <c r="K1025" s="529"/>
      <c r="L1025" s="961"/>
      <c r="M1025" s="961"/>
      <c r="N1025" s="983">
        <v>0</v>
      </c>
      <c r="O1025" s="981"/>
      <c r="P1025" s="772"/>
      <c r="Q1025" s="812"/>
      <c r="R1025" s="953"/>
    </row>
    <row r="1026" spans="1:18" s="440" customFormat="1" ht="36" customHeight="1">
      <c r="A1026" s="984"/>
      <c r="B1026" s="972"/>
      <c r="C1026" s="986"/>
      <c r="D1026" s="438"/>
      <c r="E1026" s="957" t="s">
        <v>460</v>
      </c>
      <c r="F1026" s="961"/>
      <c r="G1026" s="961"/>
      <c r="H1026" s="958">
        <v>692</v>
      </c>
      <c r="I1026" s="973"/>
      <c r="J1026" s="973"/>
      <c r="K1026" s="529"/>
      <c r="L1026" s="961"/>
      <c r="M1026" s="961"/>
      <c r="N1026" s="983">
        <v>0</v>
      </c>
      <c r="O1026" s="981"/>
      <c r="P1026" s="772"/>
      <c r="Q1026" s="812"/>
      <c r="R1026" s="953"/>
    </row>
    <row r="1027" spans="1:18" s="440" customFormat="1" ht="36" customHeight="1">
      <c r="A1027" s="984"/>
      <c r="B1027" s="972"/>
      <c r="C1027" s="986"/>
      <c r="D1027" s="438"/>
      <c r="E1027" s="957" t="s">
        <v>461</v>
      </c>
      <c r="F1027" s="961"/>
      <c r="G1027" s="961"/>
      <c r="H1027" s="958">
        <v>35817</v>
      </c>
      <c r="I1027" s="973"/>
      <c r="J1027" s="973"/>
      <c r="K1027" s="529"/>
      <c r="L1027" s="961"/>
      <c r="M1027" s="961"/>
      <c r="N1027" s="983">
        <v>4892</v>
      </c>
      <c r="O1027" s="981"/>
      <c r="P1027" s="772"/>
      <c r="Q1027" s="812"/>
      <c r="R1027" s="953"/>
    </row>
    <row r="1028" spans="1:18" s="440" customFormat="1" ht="36" customHeight="1">
      <c r="A1028" s="984"/>
      <c r="B1028" s="972"/>
      <c r="C1028" s="986"/>
      <c r="D1028" s="438"/>
      <c r="E1028" s="957" t="s">
        <v>462</v>
      </c>
      <c r="F1028" s="961"/>
      <c r="G1028" s="961"/>
      <c r="H1028" s="958">
        <v>0</v>
      </c>
      <c r="I1028" s="973"/>
      <c r="J1028" s="973"/>
      <c r="K1028" s="529"/>
      <c r="L1028" s="961"/>
      <c r="M1028" s="961"/>
      <c r="N1028" s="983">
        <v>73074.73</v>
      </c>
      <c r="O1028" s="981"/>
      <c r="P1028" s="772"/>
      <c r="Q1028" s="812"/>
      <c r="R1028" s="953"/>
    </row>
    <row r="1029" spans="1:18" s="440" customFormat="1" ht="57.75" customHeight="1">
      <c r="A1029" s="984"/>
      <c r="B1029" s="972"/>
      <c r="C1029" s="986"/>
      <c r="D1029" s="438"/>
      <c r="E1029" s="957" t="s">
        <v>463</v>
      </c>
      <c r="F1029" s="961"/>
      <c r="G1029" s="961"/>
      <c r="H1029" s="958">
        <v>0</v>
      </c>
      <c r="I1029" s="973"/>
      <c r="J1029" s="973"/>
      <c r="K1029" s="529"/>
      <c r="L1029" s="961"/>
      <c r="M1029" s="961"/>
      <c r="N1029" s="983">
        <v>1781.07</v>
      </c>
      <c r="O1029" s="981"/>
      <c r="P1029" s="772"/>
      <c r="Q1029" s="812"/>
      <c r="R1029" s="953"/>
    </row>
    <row r="1030" spans="1:18" s="440" customFormat="1" ht="36" customHeight="1">
      <c r="A1030" s="984"/>
      <c r="B1030" s="972"/>
      <c r="C1030" s="986"/>
      <c r="D1030" s="438"/>
      <c r="E1030" s="957" t="s">
        <v>464</v>
      </c>
      <c r="F1030" s="961"/>
      <c r="G1030" s="961"/>
      <c r="H1030" s="958">
        <v>0</v>
      </c>
      <c r="I1030" s="973"/>
      <c r="J1030" s="973"/>
      <c r="K1030" s="529"/>
      <c r="L1030" s="961"/>
      <c r="M1030" s="961"/>
      <c r="N1030" s="983">
        <v>0</v>
      </c>
      <c r="O1030" s="981"/>
      <c r="P1030" s="772"/>
      <c r="Q1030" s="812"/>
      <c r="R1030" s="953"/>
    </row>
    <row r="1031" spans="1:18" s="440" customFormat="1" ht="36" customHeight="1">
      <c r="A1031" s="984"/>
      <c r="B1031" s="972"/>
      <c r="C1031" s="986"/>
      <c r="D1031" s="438"/>
      <c r="E1031" s="957" t="s">
        <v>465</v>
      </c>
      <c r="F1031" s="961"/>
      <c r="G1031" s="961"/>
      <c r="H1031" s="958">
        <v>0</v>
      </c>
      <c r="I1031" s="973"/>
      <c r="J1031" s="973"/>
      <c r="K1031" s="529"/>
      <c r="L1031" s="961"/>
      <c r="M1031" s="961"/>
      <c r="N1031" s="983">
        <v>0</v>
      </c>
      <c r="O1031" s="981"/>
      <c r="P1031" s="772"/>
      <c r="Q1031" s="812"/>
      <c r="R1031" s="953"/>
    </row>
    <row r="1032" spans="1:18" s="440" customFormat="1" ht="36" customHeight="1">
      <c r="A1032" s="984"/>
      <c r="B1032" s="972"/>
      <c r="C1032" s="450"/>
      <c r="D1032" s="438"/>
      <c r="E1032" s="957" t="s">
        <v>466</v>
      </c>
      <c r="F1032" s="961"/>
      <c r="G1032" s="961"/>
      <c r="H1032" s="958">
        <v>1674.81</v>
      </c>
      <c r="I1032" s="973"/>
      <c r="J1032" s="973"/>
      <c r="K1032" s="529"/>
      <c r="L1032" s="961"/>
      <c r="M1032" s="961"/>
      <c r="N1032" s="983">
        <v>577.88</v>
      </c>
      <c r="O1032" s="981"/>
      <c r="P1032" s="772"/>
      <c r="Q1032" s="812"/>
      <c r="R1032" s="953"/>
    </row>
    <row r="1033" spans="1:18" s="440" customFormat="1" ht="43.5" customHeight="1">
      <c r="A1033" s="984"/>
      <c r="B1033" s="972"/>
      <c r="C1033" s="986"/>
      <c r="D1033" s="438"/>
      <c r="E1033" s="945" t="s">
        <v>467</v>
      </c>
      <c r="F1033" s="949">
        <v>117300</v>
      </c>
      <c r="G1033" s="949">
        <v>111778</v>
      </c>
      <c r="H1033" s="949">
        <v>74715.13</v>
      </c>
      <c r="I1033" s="973"/>
      <c r="J1033" s="973"/>
      <c r="K1033" s="529"/>
      <c r="L1033" s="949">
        <v>0</v>
      </c>
      <c r="M1033" s="949">
        <v>0</v>
      </c>
      <c r="N1033" s="949">
        <v>0</v>
      </c>
      <c r="O1033" s="978">
        <v>0</v>
      </c>
      <c r="P1033" s="772" t="s">
        <v>395</v>
      </c>
      <c r="Q1033" s="812"/>
      <c r="R1033" s="953"/>
    </row>
    <row r="1034" spans="1:18" s="274" customFormat="1" ht="116.25" customHeight="1">
      <c r="A1034" s="429"/>
      <c r="B1034" s="75">
        <v>80149</v>
      </c>
      <c r="C1034" s="74"/>
      <c r="D1034" s="176"/>
      <c r="E1034" s="175" t="s">
        <v>229</v>
      </c>
      <c r="F1034" s="409">
        <f>F1123</f>
        <v>0</v>
      </c>
      <c r="G1034" s="92">
        <f>G1123</f>
        <v>0</v>
      </c>
      <c r="H1034" s="92">
        <f>H1123</f>
        <v>0</v>
      </c>
      <c r="I1034" s="92">
        <f>I1123</f>
        <v>0</v>
      </c>
      <c r="J1034" s="92">
        <f>J1123</f>
        <v>0</v>
      </c>
      <c r="K1034" s="92" t="e">
        <f>K1122+K1035+K1252+K1253+K1254+K1255+K1256</f>
        <v>#REF!</v>
      </c>
      <c r="L1034" s="92">
        <f>L1035+L1122+L1252+L1253+L1254+L1255+L1256</f>
        <v>983429</v>
      </c>
      <c r="M1034" s="92">
        <f>M1035+M1122+M1252+M1253+M1254+M1255+M1256</f>
        <v>1329266</v>
      </c>
      <c r="N1034" s="92">
        <f>N1035+N1122+N1252+N1253+N1254+N1255+N1256</f>
        <v>649118.39</v>
      </c>
      <c r="O1034" s="755">
        <f>N1034/M1034</f>
        <v>0.48832843840134332</v>
      </c>
      <c r="P1034" s="786" t="s">
        <v>395</v>
      </c>
      <c r="Q1034" s="669"/>
    </row>
    <row r="1035" spans="1:18" s="193" customFormat="1" ht="39.9" customHeight="1">
      <c r="A1035" s="487"/>
      <c r="B1035" s="173"/>
      <c r="C1035" s="190" t="s">
        <v>21</v>
      </c>
      <c r="D1035" s="189"/>
      <c r="E1035" s="188" t="s">
        <v>20</v>
      </c>
      <c r="F1035" s="187"/>
      <c r="G1035" s="187"/>
      <c r="H1035" s="187"/>
      <c r="I1035" s="187"/>
      <c r="J1035" s="187"/>
      <c r="K1035" s="432" t="e">
        <f>K1036+#REF!</f>
        <v>#REF!</v>
      </c>
      <c r="L1035" s="432">
        <f>L1036+L1079</f>
        <v>27606</v>
      </c>
      <c r="M1035" s="432">
        <f>M1036+M1079</f>
        <v>68546</v>
      </c>
      <c r="N1035" s="432">
        <f>N1036+N1079</f>
        <v>24914.010000000002</v>
      </c>
      <c r="O1035" s="819">
        <f>N1035/M1035</f>
        <v>0.36346409710267563</v>
      </c>
      <c r="P1035" s="781" t="s">
        <v>395</v>
      </c>
      <c r="Q1035" s="665"/>
    </row>
    <row r="1036" spans="1:18" s="441" customFormat="1" ht="39.9" customHeight="1">
      <c r="A1036" s="487"/>
      <c r="B1036" s="420"/>
      <c r="C1036" s="394">
        <v>1</v>
      </c>
      <c r="D1036" s="443"/>
      <c r="E1036" s="544" t="s">
        <v>221</v>
      </c>
      <c r="F1036" s="395"/>
      <c r="G1036" s="421"/>
      <c r="H1036" s="421"/>
      <c r="I1036" s="421"/>
      <c r="J1036" s="421"/>
      <c r="K1036" s="421">
        <v>11640</v>
      </c>
      <c r="L1036" s="421">
        <f>L1037+L1056+L1078</f>
        <v>11640</v>
      </c>
      <c r="M1036" s="421">
        <f t="shared" ref="M1036:N1036" si="97">M1037+M1056+M1078</f>
        <v>16031</v>
      </c>
      <c r="N1036" s="421">
        <f t="shared" si="97"/>
        <v>14834.97</v>
      </c>
      <c r="O1036" s="850">
        <f>N1036/M1036</f>
        <v>0.92539267668891523</v>
      </c>
      <c r="P1036" s="787" t="s">
        <v>395</v>
      </c>
      <c r="Q1036" s="670"/>
    </row>
    <row r="1037" spans="1:18" s="431" customFormat="1" ht="50.25" customHeight="1">
      <c r="A1037" s="987"/>
      <c r="B1037" s="944"/>
      <c r="C1037" s="458"/>
      <c r="D1037" s="444"/>
      <c r="E1037" s="945" t="s">
        <v>412</v>
      </c>
      <c r="F1037" s="976"/>
      <c r="G1037" s="946"/>
      <c r="H1037" s="946"/>
      <c r="I1037" s="946"/>
      <c r="J1037" s="947"/>
      <c r="K1037" s="948"/>
      <c r="L1037" s="949">
        <v>10637</v>
      </c>
      <c r="M1037" s="949">
        <v>2398</v>
      </c>
      <c r="N1037" s="977">
        <f>SUM(N1039:N1055)</f>
        <v>1473.97</v>
      </c>
      <c r="O1037" s="978">
        <f>N1037/M1037</f>
        <v>0.61466638865721435</v>
      </c>
      <c r="P1037" s="780" t="s">
        <v>395</v>
      </c>
      <c r="Q1037" s="908"/>
      <c r="R1037" s="951"/>
    </row>
    <row r="1038" spans="1:18" s="440" customFormat="1" ht="34.5" customHeight="1">
      <c r="A1038" s="984"/>
      <c r="B1038" s="972"/>
      <c r="C1038" s="450"/>
      <c r="D1038" s="438"/>
      <c r="E1038" s="952" t="s">
        <v>13</v>
      </c>
      <c r="F1038" s="985"/>
      <c r="G1038" s="973"/>
      <c r="H1038" s="973"/>
      <c r="I1038" s="973"/>
      <c r="J1038" s="973"/>
      <c r="K1038" s="383"/>
      <c r="L1038" s="980"/>
      <c r="M1038" s="980"/>
      <c r="N1038" s="980"/>
      <c r="O1038" s="981"/>
      <c r="P1038" s="772"/>
      <c r="Q1038" s="812"/>
      <c r="R1038" s="953"/>
    </row>
    <row r="1039" spans="1:18" s="440" customFormat="1" ht="36" customHeight="1">
      <c r="A1039" s="984"/>
      <c r="B1039" s="972"/>
      <c r="C1039" s="450"/>
      <c r="D1039" s="425"/>
      <c r="E1039" s="954" t="s">
        <v>477</v>
      </c>
      <c r="F1039" s="985"/>
      <c r="G1039" s="973"/>
      <c r="H1039" s="973"/>
      <c r="I1039" s="973"/>
      <c r="J1039" s="973"/>
      <c r="K1039" s="383"/>
      <c r="L1039" s="955"/>
      <c r="M1039" s="955"/>
      <c r="N1039" s="983">
        <v>0</v>
      </c>
      <c r="O1039" s="981"/>
      <c r="P1039" s="772"/>
      <c r="Q1039" s="812"/>
      <c r="R1039" s="953"/>
    </row>
    <row r="1040" spans="1:18" s="440" customFormat="1" ht="57" customHeight="1">
      <c r="A1040" s="984"/>
      <c r="B1040" s="972"/>
      <c r="C1040" s="450"/>
      <c r="D1040" s="438"/>
      <c r="E1040" s="954" t="s">
        <v>478</v>
      </c>
      <c r="F1040" s="985"/>
      <c r="G1040" s="973"/>
      <c r="H1040" s="973"/>
      <c r="I1040" s="973"/>
      <c r="J1040" s="973"/>
      <c r="K1040" s="383"/>
      <c r="L1040" s="955"/>
      <c r="M1040" s="955"/>
      <c r="N1040" s="983">
        <v>0</v>
      </c>
      <c r="O1040" s="981"/>
      <c r="P1040" s="772"/>
      <c r="Q1040" s="812"/>
      <c r="R1040" s="953"/>
    </row>
    <row r="1041" spans="1:18" s="440" customFormat="1" ht="51.75" customHeight="1">
      <c r="A1041" s="984"/>
      <c r="B1041" s="972"/>
      <c r="C1041" s="450"/>
      <c r="D1041" s="438"/>
      <c r="E1041" s="954" t="s">
        <v>554</v>
      </c>
      <c r="F1041" s="985"/>
      <c r="G1041" s="973"/>
      <c r="H1041" s="973"/>
      <c r="I1041" s="973"/>
      <c r="J1041" s="973"/>
      <c r="K1041" s="383"/>
      <c r="L1041" s="955"/>
      <c r="M1041" s="955"/>
      <c r="N1041" s="983">
        <v>1257.76</v>
      </c>
      <c r="O1041" s="981"/>
      <c r="P1041" s="772"/>
      <c r="Q1041" s="812"/>
      <c r="R1041" s="953"/>
    </row>
    <row r="1042" spans="1:18" s="440" customFormat="1" ht="36" customHeight="1">
      <c r="A1042" s="984"/>
      <c r="B1042" s="972"/>
      <c r="C1042" s="450"/>
      <c r="D1042" s="438"/>
      <c r="E1042" s="954" t="s">
        <v>480</v>
      </c>
      <c r="F1042" s="985"/>
      <c r="G1042" s="973"/>
      <c r="H1042" s="973"/>
      <c r="I1042" s="973"/>
      <c r="J1042" s="973"/>
      <c r="K1042" s="383"/>
      <c r="L1042" s="955"/>
      <c r="M1042" s="955"/>
      <c r="N1042" s="983">
        <v>0</v>
      </c>
      <c r="O1042" s="981"/>
      <c r="P1042" s="772"/>
      <c r="Q1042" s="812"/>
      <c r="R1042" s="953"/>
    </row>
    <row r="1043" spans="1:18" s="440" customFormat="1" ht="36" customHeight="1">
      <c r="A1043" s="984"/>
      <c r="B1043" s="972"/>
      <c r="C1043" s="450"/>
      <c r="D1043" s="438"/>
      <c r="E1043" s="954" t="s">
        <v>534</v>
      </c>
      <c r="F1043" s="985"/>
      <c r="G1043" s="973"/>
      <c r="H1043" s="973"/>
      <c r="I1043" s="973"/>
      <c r="J1043" s="973"/>
      <c r="K1043" s="383"/>
      <c r="L1043" s="955"/>
      <c r="M1043" s="955"/>
      <c r="N1043" s="983">
        <v>0</v>
      </c>
      <c r="O1043" s="981"/>
      <c r="P1043" s="772"/>
      <c r="Q1043" s="812"/>
      <c r="R1043" s="953"/>
    </row>
    <row r="1044" spans="1:18" s="440" customFormat="1" ht="36" customHeight="1">
      <c r="A1044" s="984"/>
      <c r="B1044" s="972"/>
      <c r="C1044" s="450"/>
      <c r="D1044" s="438"/>
      <c r="E1044" s="954" t="s">
        <v>437</v>
      </c>
      <c r="F1044" s="985"/>
      <c r="G1044" s="973"/>
      <c r="H1044" s="973"/>
      <c r="I1044" s="973"/>
      <c r="J1044" s="973"/>
      <c r="K1044" s="383"/>
      <c r="L1044" s="955"/>
      <c r="M1044" s="955"/>
      <c r="N1044" s="983">
        <v>0</v>
      </c>
      <c r="O1044" s="981"/>
      <c r="P1044" s="772"/>
      <c r="Q1044" s="812"/>
      <c r="R1044" s="953"/>
    </row>
    <row r="1045" spans="1:18" s="440" customFormat="1" ht="36" customHeight="1">
      <c r="A1045" s="984"/>
      <c r="B1045" s="972"/>
      <c r="C1045" s="450"/>
      <c r="D1045" s="438"/>
      <c r="E1045" s="954" t="s">
        <v>438</v>
      </c>
      <c r="F1045" s="985"/>
      <c r="G1045" s="973"/>
      <c r="H1045" s="973"/>
      <c r="I1045" s="973"/>
      <c r="J1045" s="973"/>
      <c r="K1045" s="383"/>
      <c r="L1045" s="955"/>
      <c r="M1045" s="955"/>
      <c r="N1045" s="983">
        <v>0</v>
      </c>
      <c r="O1045" s="981"/>
      <c r="P1045" s="772"/>
      <c r="Q1045" s="812"/>
      <c r="R1045" s="953"/>
    </row>
    <row r="1046" spans="1:18" s="440" customFormat="1" ht="36" customHeight="1">
      <c r="A1046" s="984"/>
      <c r="B1046" s="972"/>
      <c r="C1046" s="450"/>
      <c r="D1046" s="438"/>
      <c r="E1046" s="954" t="s">
        <v>481</v>
      </c>
      <c r="F1046" s="985"/>
      <c r="G1046" s="973"/>
      <c r="H1046" s="973"/>
      <c r="I1046" s="973"/>
      <c r="J1046" s="973"/>
      <c r="K1046" s="383"/>
      <c r="L1046" s="955"/>
      <c r="M1046" s="955"/>
      <c r="N1046" s="983">
        <v>0</v>
      </c>
      <c r="O1046" s="981"/>
      <c r="P1046" s="772"/>
      <c r="Q1046" s="812"/>
      <c r="R1046" s="953"/>
    </row>
    <row r="1047" spans="1:18" s="440" customFormat="1" ht="36" customHeight="1">
      <c r="A1047" s="984"/>
      <c r="B1047" s="972"/>
      <c r="C1047" s="450"/>
      <c r="D1047" s="438"/>
      <c r="E1047" s="954" t="s">
        <v>439</v>
      </c>
      <c r="F1047" s="985"/>
      <c r="G1047" s="973"/>
      <c r="H1047" s="973"/>
      <c r="I1047" s="973"/>
      <c r="J1047" s="973"/>
      <c r="K1047" s="383"/>
      <c r="L1047" s="955"/>
      <c r="M1047" s="955"/>
      <c r="N1047" s="983">
        <v>0</v>
      </c>
      <c r="O1047" s="981"/>
      <c r="P1047" s="772"/>
      <c r="Q1047" s="812"/>
      <c r="R1047" s="953"/>
    </row>
    <row r="1048" spans="1:18" s="440" customFormat="1" ht="36" customHeight="1">
      <c r="A1048" s="984"/>
      <c r="B1048" s="972"/>
      <c r="C1048" s="450"/>
      <c r="D1048" s="438"/>
      <c r="E1048" s="954" t="s">
        <v>440</v>
      </c>
      <c r="F1048" s="985"/>
      <c r="G1048" s="973"/>
      <c r="H1048" s="973"/>
      <c r="I1048" s="973"/>
      <c r="J1048" s="973"/>
      <c r="K1048" s="383"/>
      <c r="L1048" s="955"/>
      <c r="M1048" s="955"/>
      <c r="N1048" s="983">
        <v>0</v>
      </c>
      <c r="O1048" s="981"/>
      <c r="P1048" s="772"/>
      <c r="Q1048" s="812"/>
      <c r="R1048" s="953"/>
    </row>
    <row r="1049" spans="1:18" s="440" customFormat="1" ht="36" customHeight="1">
      <c r="A1049" s="984"/>
      <c r="B1049" s="972"/>
      <c r="C1049" s="450"/>
      <c r="D1049" s="438"/>
      <c r="E1049" s="954" t="s">
        <v>441</v>
      </c>
      <c r="F1049" s="985"/>
      <c r="G1049" s="973"/>
      <c r="H1049" s="973"/>
      <c r="I1049" s="973"/>
      <c r="J1049" s="973"/>
      <c r="K1049" s="383"/>
      <c r="L1049" s="955"/>
      <c r="M1049" s="955"/>
      <c r="N1049" s="983">
        <v>0</v>
      </c>
      <c r="O1049" s="981"/>
      <c r="P1049" s="772"/>
      <c r="Q1049" s="812"/>
      <c r="R1049" s="953"/>
    </row>
    <row r="1050" spans="1:18" s="440" customFormat="1" ht="43.5" customHeight="1">
      <c r="A1050" s="984"/>
      <c r="B1050" s="972"/>
      <c r="C1050" s="450"/>
      <c r="D1050" s="438"/>
      <c r="E1050" s="954" t="s">
        <v>555</v>
      </c>
      <c r="F1050" s="985"/>
      <c r="G1050" s="973"/>
      <c r="H1050" s="973"/>
      <c r="I1050" s="973"/>
      <c r="J1050" s="973"/>
      <c r="K1050" s="383"/>
      <c r="L1050" s="955"/>
      <c r="M1050" s="955"/>
      <c r="N1050" s="983">
        <v>0</v>
      </c>
      <c r="O1050" s="981"/>
      <c r="P1050" s="772"/>
      <c r="Q1050" s="812"/>
      <c r="R1050" s="953"/>
    </row>
    <row r="1051" spans="1:18" s="440" customFormat="1" ht="36" customHeight="1">
      <c r="A1051" s="984"/>
      <c r="B1051" s="972"/>
      <c r="C1051" s="450"/>
      <c r="D1051" s="438"/>
      <c r="E1051" s="954" t="s">
        <v>442</v>
      </c>
      <c r="F1051" s="985"/>
      <c r="G1051" s="973"/>
      <c r="H1051" s="973"/>
      <c r="I1051" s="973"/>
      <c r="J1051" s="973"/>
      <c r="K1051" s="383"/>
      <c r="L1051" s="955"/>
      <c r="M1051" s="955"/>
      <c r="N1051" s="983">
        <v>0</v>
      </c>
      <c r="O1051" s="981"/>
      <c r="P1051" s="772"/>
      <c r="Q1051" s="812"/>
      <c r="R1051" s="953"/>
    </row>
    <row r="1052" spans="1:18" s="440" customFormat="1" ht="36" customHeight="1">
      <c r="A1052" s="984"/>
      <c r="B1052" s="972"/>
      <c r="C1052" s="450"/>
      <c r="D1052" s="438"/>
      <c r="E1052" s="954" t="s">
        <v>443</v>
      </c>
      <c r="F1052" s="985"/>
      <c r="G1052" s="973"/>
      <c r="H1052" s="973"/>
      <c r="I1052" s="973"/>
      <c r="J1052" s="973"/>
      <c r="K1052" s="383"/>
      <c r="L1052" s="955"/>
      <c r="M1052" s="955"/>
      <c r="N1052" s="983">
        <v>0</v>
      </c>
      <c r="O1052" s="981"/>
      <c r="P1052" s="772"/>
      <c r="Q1052" s="812"/>
      <c r="R1052" s="953"/>
    </row>
    <row r="1053" spans="1:18" s="440" customFormat="1" ht="36" customHeight="1">
      <c r="A1053" s="984"/>
      <c r="B1053" s="972"/>
      <c r="C1053" s="450"/>
      <c r="D1053" s="438"/>
      <c r="E1053" s="954" t="s">
        <v>482</v>
      </c>
      <c r="F1053" s="985"/>
      <c r="G1053" s="973"/>
      <c r="H1053" s="973"/>
      <c r="I1053" s="973"/>
      <c r="J1053" s="973"/>
      <c r="K1053" s="383"/>
      <c r="L1053" s="955"/>
      <c r="M1053" s="955"/>
      <c r="N1053" s="983">
        <v>0</v>
      </c>
      <c r="O1053" s="981"/>
      <c r="P1053" s="772"/>
      <c r="Q1053" s="812"/>
      <c r="R1053" s="953"/>
    </row>
    <row r="1054" spans="1:18" s="440" customFormat="1" ht="36" customHeight="1">
      <c r="A1054" s="984"/>
      <c r="B1054" s="972"/>
      <c r="C1054" s="450"/>
      <c r="D1054" s="438"/>
      <c r="E1054" s="954" t="s">
        <v>445</v>
      </c>
      <c r="F1054" s="985"/>
      <c r="G1054" s="973"/>
      <c r="H1054" s="973"/>
      <c r="I1054" s="973"/>
      <c r="J1054" s="973"/>
      <c r="K1054" s="383"/>
      <c r="L1054" s="955"/>
      <c r="M1054" s="955"/>
      <c r="N1054" s="983">
        <v>0</v>
      </c>
      <c r="O1054" s="981"/>
      <c r="P1054" s="772"/>
      <c r="Q1054" s="812"/>
      <c r="R1054" s="953"/>
    </row>
    <row r="1055" spans="1:18" s="440" customFormat="1" ht="36" customHeight="1">
      <c r="A1055" s="984"/>
      <c r="B1055" s="972"/>
      <c r="C1055" s="450"/>
      <c r="D1055" s="438"/>
      <c r="E1055" s="954" t="s">
        <v>446</v>
      </c>
      <c r="F1055" s="985"/>
      <c r="G1055" s="973"/>
      <c r="H1055" s="973"/>
      <c r="I1055" s="973"/>
      <c r="J1055" s="973"/>
      <c r="K1055" s="383"/>
      <c r="L1055" s="955"/>
      <c r="M1055" s="955"/>
      <c r="N1055" s="983">
        <v>216.21</v>
      </c>
      <c r="O1055" s="981"/>
      <c r="P1055" s="772"/>
      <c r="Q1055" s="812"/>
      <c r="R1055" s="953"/>
    </row>
    <row r="1056" spans="1:18" s="440" customFormat="1" ht="58.5" customHeight="1">
      <c r="A1056" s="984"/>
      <c r="B1056" s="972"/>
      <c r="C1056" s="986"/>
      <c r="D1056" s="438"/>
      <c r="E1056" s="945" t="s">
        <v>418</v>
      </c>
      <c r="F1056" s="949">
        <v>117300</v>
      </c>
      <c r="G1056" s="949">
        <v>111778</v>
      </c>
      <c r="H1056" s="949">
        <v>74715.13</v>
      </c>
      <c r="I1056" s="973"/>
      <c r="J1056" s="973"/>
      <c r="K1056" s="529"/>
      <c r="L1056" s="949">
        <v>1003</v>
      </c>
      <c r="M1056" s="949">
        <v>13633</v>
      </c>
      <c r="N1056" s="977">
        <f>SUM(N1057:N1077)</f>
        <v>13361</v>
      </c>
      <c r="O1056" s="978">
        <f>N1056/M1056</f>
        <v>0.9800484119416123</v>
      </c>
      <c r="P1056" s="772" t="s">
        <v>395</v>
      </c>
      <c r="Q1056" s="812"/>
      <c r="R1056" s="953"/>
    </row>
    <row r="1057" spans="1:18" s="440" customFormat="1" ht="83.25" customHeight="1">
      <c r="A1057" s="984"/>
      <c r="B1057" s="972"/>
      <c r="C1057" s="986"/>
      <c r="D1057" s="438"/>
      <c r="E1057" s="957" t="s">
        <v>447</v>
      </c>
      <c r="F1057" s="958"/>
      <c r="G1057" s="958"/>
      <c r="H1057" s="958">
        <v>0</v>
      </c>
      <c r="I1057" s="973"/>
      <c r="J1057" s="973"/>
      <c r="K1057" s="529"/>
      <c r="L1057" s="958"/>
      <c r="M1057" s="958"/>
      <c r="N1057" s="983">
        <v>0</v>
      </c>
      <c r="O1057" s="981"/>
      <c r="P1057" s="772"/>
      <c r="Q1057" s="812"/>
      <c r="R1057" s="953"/>
    </row>
    <row r="1058" spans="1:18" s="440" customFormat="1" ht="36" customHeight="1">
      <c r="A1058" s="984"/>
      <c r="B1058" s="972"/>
      <c r="C1058" s="986"/>
      <c r="D1058" s="438"/>
      <c r="E1058" s="957" t="s">
        <v>448</v>
      </c>
      <c r="F1058" s="958"/>
      <c r="G1058" s="958"/>
      <c r="H1058" s="958">
        <v>0</v>
      </c>
      <c r="I1058" s="973"/>
      <c r="J1058" s="973"/>
      <c r="K1058" s="529"/>
      <c r="L1058" s="958"/>
      <c r="M1058" s="958"/>
      <c r="N1058" s="983">
        <v>0</v>
      </c>
      <c r="O1058" s="981"/>
      <c r="P1058" s="772"/>
      <c r="Q1058" s="812"/>
      <c r="R1058" s="953"/>
    </row>
    <row r="1059" spans="1:18" s="440" customFormat="1" ht="36" customHeight="1">
      <c r="A1059" s="984"/>
      <c r="B1059" s="972"/>
      <c r="C1059" s="986"/>
      <c r="D1059" s="438"/>
      <c r="E1059" s="957" t="s">
        <v>449</v>
      </c>
      <c r="F1059" s="958"/>
      <c r="G1059" s="958"/>
      <c r="H1059" s="958">
        <v>0</v>
      </c>
      <c r="I1059" s="973"/>
      <c r="J1059" s="973"/>
      <c r="K1059" s="529"/>
      <c r="L1059" s="958"/>
      <c r="M1059" s="958"/>
      <c r="N1059" s="983">
        <v>0</v>
      </c>
      <c r="O1059" s="981"/>
      <c r="P1059" s="772"/>
      <c r="Q1059" s="812"/>
      <c r="R1059" s="953"/>
    </row>
    <row r="1060" spans="1:18" s="440" customFormat="1" ht="36" customHeight="1">
      <c r="A1060" s="984"/>
      <c r="B1060" s="972"/>
      <c r="C1060" s="986"/>
      <c r="D1060" s="438"/>
      <c r="E1060" s="957" t="s">
        <v>450</v>
      </c>
      <c r="F1060" s="958"/>
      <c r="G1060" s="958"/>
      <c r="H1060" s="958">
        <v>0</v>
      </c>
      <c r="I1060" s="973"/>
      <c r="J1060" s="973"/>
      <c r="K1060" s="529"/>
      <c r="L1060" s="958"/>
      <c r="M1060" s="958"/>
      <c r="N1060" s="983">
        <v>0</v>
      </c>
      <c r="O1060" s="981"/>
      <c r="P1060" s="772"/>
      <c r="Q1060" s="812"/>
      <c r="R1060" s="953"/>
    </row>
    <row r="1061" spans="1:18" s="440" customFormat="1" ht="36" customHeight="1">
      <c r="A1061" s="984"/>
      <c r="B1061" s="972"/>
      <c r="C1061" s="986"/>
      <c r="D1061" s="438"/>
      <c r="E1061" s="957" t="s">
        <v>451</v>
      </c>
      <c r="F1061" s="958"/>
      <c r="G1061" s="958"/>
      <c r="H1061" s="958">
        <v>0</v>
      </c>
      <c r="I1061" s="973"/>
      <c r="J1061" s="973"/>
      <c r="K1061" s="529"/>
      <c r="L1061" s="958"/>
      <c r="M1061" s="958"/>
      <c r="N1061" s="983">
        <v>0</v>
      </c>
      <c r="O1061" s="981"/>
      <c r="P1061" s="772"/>
      <c r="Q1061" s="812"/>
      <c r="R1061" s="953"/>
    </row>
    <row r="1062" spans="1:18" s="440" customFormat="1" ht="47.25" customHeight="1">
      <c r="A1062" s="984"/>
      <c r="B1062" s="972"/>
      <c r="C1062" s="986"/>
      <c r="D1062" s="438"/>
      <c r="E1062" s="960" t="s">
        <v>486</v>
      </c>
      <c r="F1062" s="958"/>
      <c r="G1062" s="958"/>
      <c r="H1062" s="958">
        <v>4300</v>
      </c>
      <c r="I1062" s="973"/>
      <c r="J1062" s="973"/>
      <c r="K1062" s="529"/>
      <c r="L1062" s="958"/>
      <c r="M1062" s="958"/>
      <c r="N1062" s="983">
        <v>0</v>
      </c>
      <c r="O1062" s="981"/>
      <c r="P1062" s="772"/>
      <c r="Q1062" s="812"/>
      <c r="R1062" s="953"/>
    </row>
    <row r="1063" spans="1:18" s="440" customFormat="1" ht="84" customHeight="1">
      <c r="A1063" s="984"/>
      <c r="B1063" s="972"/>
      <c r="C1063" s="986"/>
      <c r="D1063" s="438"/>
      <c r="E1063" s="957" t="s">
        <v>452</v>
      </c>
      <c r="F1063" s="958"/>
      <c r="G1063" s="958"/>
      <c r="H1063" s="958">
        <v>0</v>
      </c>
      <c r="I1063" s="973"/>
      <c r="J1063" s="973"/>
      <c r="K1063" s="529"/>
      <c r="L1063" s="958"/>
      <c r="M1063" s="958"/>
      <c r="N1063" s="983">
        <v>8361</v>
      </c>
      <c r="O1063" s="981"/>
      <c r="P1063" s="772"/>
      <c r="Q1063" s="812"/>
      <c r="R1063" s="953"/>
    </row>
    <row r="1064" spans="1:18" s="440" customFormat="1" ht="62.4" customHeight="1">
      <c r="A1064" s="984"/>
      <c r="B1064" s="972"/>
      <c r="C1064" s="986"/>
      <c r="D1064" s="438"/>
      <c r="E1064" s="957" t="s">
        <v>453</v>
      </c>
      <c r="F1064" s="958"/>
      <c r="G1064" s="958"/>
      <c r="H1064" s="958">
        <v>0</v>
      </c>
      <c r="I1064" s="973"/>
      <c r="J1064" s="973"/>
      <c r="K1064" s="529"/>
      <c r="L1064" s="958"/>
      <c r="M1064" s="958"/>
      <c r="N1064" s="983">
        <v>5000</v>
      </c>
      <c r="O1064" s="981"/>
      <c r="P1064" s="772"/>
      <c r="Q1064" s="812"/>
      <c r="R1064" s="953"/>
    </row>
    <row r="1065" spans="1:18" s="440" customFormat="1" ht="36" customHeight="1">
      <c r="A1065" s="984"/>
      <c r="B1065" s="972"/>
      <c r="C1065" s="986"/>
      <c r="D1065" s="438"/>
      <c r="E1065" s="957" t="s">
        <v>454</v>
      </c>
      <c r="F1065" s="958"/>
      <c r="G1065" s="958"/>
      <c r="H1065" s="958">
        <v>0</v>
      </c>
      <c r="I1065" s="973"/>
      <c r="J1065" s="973"/>
      <c r="K1065" s="529"/>
      <c r="L1065" s="958"/>
      <c r="M1065" s="958"/>
      <c r="N1065" s="983">
        <v>0</v>
      </c>
      <c r="O1065" s="981"/>
      <c r="P1065" s="772"/>
      <c r="Q1065" s="812"/>
      <c r="R1065" s="953"/>
    </row>
    <row r="1066" spans="1:18" s="440" customFormat="1" ht="54.75" customHeight="1">
      <c r="A1066" s="984"/>
      <c r="B1066" s="972"/>
      <c r="C1066" s="986"/>
      <c r="D1066" s="438"/>
      <c r="E1066" s="957" t="s">
        <v>455</v>
      </c>
      <c r="F1066" s="958"/>
      <c r="G1066" s="958"/>
      <c r="H1066" s="958">
        <v>0</v>
      </c>
      <c r="I1066" s="973"/>
      <c r="J1066" s="973"/>
      <c r="K1066" s="529"/>
      <c r="L1066" s="958"/>
      <c r="M1066" s="958"/>
      <c r="N1066" s="983">
        <v>0</v>
      </c>
      <c r="O1066" s="981"/>
      <c r="P1066" s="772"/>
      <c r="Q1066" s="812"/>
      <c r="R1066" s="953"/>
    </row>
    <row r="1067" spans="1:18" s="440" customFormat="1" ht="36" customHeight="1">
      <c r="A1067" s="984"/>
      <c r="B1067" s="972"/>
      <c r="C1067" s="986"/>
      <c r="D1067" s="438"/>
      <c r="E1067" s="957" t="s">
        <v>456</v>
      </c>
      <c r="F1067" s="958"/>
      <c r="G1067" s="958"/>
      <c r="H1067" s="958">
        <v>0</v>
      </c>
      <c r="I1067" s="973"/>
      <c r="J1067" s="973"/>
      <c r="K1067" s="529"/>
      <c r="L1067" s="958"/>
      <c r="M1067" s="958"/>
      <c r="N1067" s="983">
        <v>0</v>
      </c>
      <c r="O1067" s="981"/>
      <c r="P1067" s="772"/>
      <c r="Q1067" s="812"/>
      <c r="R1067" s="953"/>
    </row>
    <row r="1068" spans="1:18" s="440" customFormat="1" ht="54.75" customHeight="1">
      <c r="A1068" s="984"/>
      <c r="B1068" s="972"/>
      <c r="C1068" s="986"/>
      <c r="D1068" s="438"/>
      <c r="E1068" s="957" t="s">
        <v>457</v>
      </c>
      <c r="F1068" s="958"/>
      <c r="G1068" s="958"/>
      <c r="H1068" s="958">
        <v>0</v>
      </c>
      <c r="I1068" s="973"/>
      <c r="J1068" s="973"/>
      <c r="K1068" s="529"/>
      <c r="L1068" s="958"/>
      <c r="M1068" s="958"/>
      <c r="N1068" s="983">
        <v>0</v>
      </c>
      <c r="O1068" s="981"/>
      <c r="P1068" s="772"/>
      <c r="Q1068" s="812"/>
      <c r="R1068" s="953"/>
    </row>
    <row r="1069" spans="1:18" s="440" customFormat="1" ht="36" customHeight="1">
      <c r="A1069" s="984"/>
      <c r="B1069" s="972"/>
      <c r="C1069" s="986"/>
      <c r="D1069" s="438"/>
      <c r="E1069" s="957" t="s">
        <v>458</v>
      </c>
      <c r="F1069" s="961"/>
      <c r="G1069" s="961"/>
      <c r="H1069" s="958">
        <v>32231.32</v>
      </c>
      <c r="I1069" s="973"/>
      <c r="J1069" s="973"/>
      <c r="K1069" s="529"/>
      <c r="L1069" s="961"/>
      <c r="M1069" s="961"/>
      <c r="N1069" s="983">
        <v>0</v>
      </c>
      <c r="O1069" s="981"/>
      <c r="P1069" s="772"/>
      <c r="Q1069" s="812"/>
      <c r="R1069" s="953"/>
    </row>
    <row r="1070" spans="1:18" s="440" customFormat="1" ht="36" customHeight="1">
      <c r="A1070" s="984"/>
      <c r="B1070" s="972"/>
      <c r="C1070" s="986"/>
      <c r="D1070" s="438"/>
      <c r="E1070" s="957" t="s">
        <v>459</v>
      </c>
      <c r="F1070" s="961"/>
      <c r="G1070" s="961"/>
      <c r="H1070" s="958">
        <v>0</v>
      </c>
      <c r="I1070" s="973"/>
      <c r="J1070" s="973"/>
      <c r="K1070" s="529"/>
      <c r="L1070" s="961"/>
      <c r="M1070" s="961"/>
      <c r="N1070" s="983">
        <v>0</v>
      </c>
      <c r="O1070" s="981"/>
      <c r="P1070" s="772"/>
      <c r="Q1070" s="812"/>
      <c r="R1070" s="953"/>
    </row>
    <row r="1071" spans="1:18" s="440" customFormat="1" ht="36" customHeight="1">
      <c r="A1071" s="984"/>
      <c r="B1071" s="972"/>
      <c r="C1071" s="986"/>
      <c r="D1071" s="438"/>
      <c r="E1071" s="957" t="s">
        <v>460</v>
      </c>
      <c r="F1071" s="961"/>
      <c r="G1071" s="961"/>
      <c r="H1071" s="958">
        <v>692</v>
      </c>
      <c r="I1071" s="973"/>
      <c r="J1071" s="973"/>
      <c r="K1071" s="529"/>
      <c r="L1071" s="961"/>
      <c r="M1071" s="961"/>
      <c r="N1071" s="983">
        <v>0</v>
      </c>
      <c r="O1071" s="981"/>
      <c r="P1071" s="772"/>
      <c r="Q1071" s="812"/>
      <c r="R1071" s="953"/>
    </row>
    <row r="1072" spans="1:18" s="440" customFormat="1" ht="36" customHeight="1">
      <c r="A1072" s="984"/>
      <c r="B1072" s="972"/>
      <c r="C1072" s="986"/>
      <c r="D1072" s="438"/>
      <c r="E1072" s="957" t="s">
        <v>461</v>
      </c>
      <c r="F1072" s="961"/>
      <c r="G1072" s="961"/>
      <c r="H1072" s="958">
        <v>35817</v>
      </c>
      <c r="I1072" s="973"/>
      <c r="J1072" s="973"/>
      <c r="K1072" s="529"/>
      <c r="L1072" s="961"/>
      <c r="M1072" s="961"/>
      <c r="N1072" s="983">
        <v>0</v>
      </c>
      <c r="O1072" s="981"/>
      <c r="P1072" s="772"/>
      <c r="Q1072" s="812"/>
      <c r="R1072" s="953"/>
    </row>
    <row r="1073" spans="1:18" s="440" customFormat="1" ht="36" customHeight="1">
      <c r="A1073" s="984"/>
      <c r="B1073" s="972"/>
      <c r="C1073" s="986"/>
      <c r="D1073" s="438"/>
      <c r="E1073" s="957" t="s">
        <v>462</v>
      </c>
      <c r="F1073" s="961"/>
      <c r="G1073" s="961"/>
      <c r="H1073" s="958">
        <v>0</v>
      </c>
      <c r="I1073" s="973"/>
      <c r="J1073" s="973"/>
      <c r="K1073" s="529"/>
      <c r="L1073" s="961"/>
      <c r="M1073" s="961"/>
      <c r="N1073" s="983">
        <v>0</v>
      </c>
      <c r="O1073" s="981"/>
      <c r="P1073" s="772"/>
      <c r="Q1073" s="812"/>
      <c r="R1073" s="953"/>
    </row>
    <row r="1074" spans="1:18" s="440" customFormat="1" ht="61.5" customHeight="1">
      <c r="A1074" s="984"/>
      <c r="B1074" s="972"/>
      <c r="C1074" s="986"/>
      <c r="D1074" s="438"/>
      <c r="E1074" s="957" t="s">
        <v>463</v>
      </c>
      <c r="F1074" s="961"/>
      <c r="G1074" s="961"/>
      <c r="H1074" s="958">
        <v>0</v>
      </c>
      <c r="I1074" s="973"/>
      <c r="J1074" s="973"/>
      <c r="K1074" s="529"/>
      <c r="L1074" s="961"/>
      <c r="M1074" s="961"/>
      <c r="N1074" s="983">
        <v>0</v>
      </c>
      <c r="O1074" s="981"/>
      <c r="P1074" s="772"/>
      <c r="Q1074" s="812"/>
      <c r="R1074" s="953"/>
    </row>
    <row r="1075" spans="1:18" s="440" customFormat="1" ht="36" customHeight="1">
      <c r="A1075" s="984"/>
      <c r="B1075" s="972"/>
      <c r="C1075" s="986"/>
      <c r="D1075" s="438"/>
      <c r="E1075" s="957" t="s">
        <v>464</v>
      </c>
      <c r="F1075" s="961"/>
      <c r="G1075" s="961"/>
      <c r="H1075" s="958">
        <v>0</v>
      </c>
      <c r="I1075" s="973"/>
      <c r="J1075" s="973"/>
      <c r="K1075" s="529"/>
      <c r="L1075" s="961"/>
      <c r="M1075" s="961"/>
      <c r="N1075" s="983">
        <v>0</v>
      </c>
      <c r="O1075" s="981"/>
      <c r="P1075" s="772"/>
      <c r="Q1075" s="812"/>
      <c r="R1075" s="953"/>
    </row>
    <row r="1076" spans="1:18" s="440" customFormat="1" ht="36" customHeight="1">
      <c r="A1076" s="984"/>
      <c r="B1076" s="972"/>
      <c r="C1076" s="986"/>
      <c r="D1076" s="438"/>
      <c r="E1076" s="957" t="s">
        <v>465</v>
      </c>
      <c r="F1076" s="961"/>
      <c r="G1076" s="961"/>
      <c r="H1076" s="958">
        <v>0</v>
      </c>
      <c r="I1076" s="973"/>
      <c r="J1076" s="973"/>
      <c r="K1076" s="529"/>
      <c r="L1076" s="961"/>
      <c r="M1076" s="961"/>
      <c r="N1076" s="983">
        <v>0</v>
      </c>
      <c r="O1076" s="981"/>
      <c r="P1076" s="772"/>
      <c r="Q1076" s="812"/>
      <c r="R1076" s="953"/>
    </row>
    <row r="1077" spans="1:18" s="440" customFormat="1" ht="36" customHeight="1">
      <c r="A1077" s="984"/>
      <c r="B1077" s="972"/>
      <c r="C1077" s="986"/>
      <c r="D1077" s="438"/>
      <c r="E1077" s="957" t="s">
        <v>466</v>
      </c>
      <c r="F1077" s="961"/>
      <c r="G1077" s="961"/>
      <c r="H1077" s="958">
        <v>1674.81</v>
      </c>
      <c r="I1077" s="973"/>
      <c r="J1077" s="973"/>
      <c r="K1077" s="529"/>
      <c r="L1077" s="961"/>
      <c r="M1077" s="961"/>
      <c r="N1077" s="983">
        <v>0</v>
      </c>
      <c r="O1077" s="981"/>
      <c r="P1077" s="772"/>
      <c r="Q1077" s="812"/>
      <c r="R1077" s="953"/>
    </row>
    <row r="1078" spans="1:18" s="440" customFormat="1" ht="57" customHeight="1">
      <c r="A1078" s="984"/>
      <c r="B1078" s="972"/>
      <c r="C1078" s="986"/>
      <c r="D1078" s="438"/>
      <c r="E1078" s="945" t="s">
        <v>467</v>
      </c>
      <c r="F1078" s="949">
        <v>117300</v>
      </c>
      <c r="G1078" s="949">
        <v>111778</v>
      </c>
      <c r="H1078" s="949">
        <v>74715.13</v>
      </c>
      <c r="I1078" s="973"/>
      <c r="J1078" s="973"/>
      <c r="K1078" s="529"/>
      <c r="L1078" s="949">
        <v>0</v>
      </c>
      <c r="M1078" s="949">
        <v>0</v>
      </c>
      <c r="N1078" s="949">
        <v>0</v>
      </c>
      <c r="O1078" s="978">
        <v>0</v>
      </c>
      <c r="P1078" s="772" t="s">
        <v>395</v>
      </c>
      <c r="Q1078" s="812"/>
      <c r="R1078" s="953"/>
    </row>
    <row r="1079" spans="1:18" s="441" customFormat="1" ht="39.9" customHeight="1">
      <c r="A1079" s="487"/>
      <c r="B1079" s="420"/>
      <c r="C1079" s="560">
        <v>1</v>
      </c>
      <c r="D1079" s="576"/>
      <c r="E1079" s="178" t="s">
        <v>284</v>
      </c>
      <c r="F1079" s="1168"/>
      <c r="G1079" s="599"/>
      <c r="H1079" s="599"/>
      <c r="I1079" s="599"/>
      <c r="J1079" s="599"/>
      <c r="K1079" s="599">
        <v>11640</v>
      </c>
      <c r="L1079" s="599">
        <f>L1080+L1099+L1121</f>
        <v>15966</v>
      </c>
      <c r="M1079" s="599">
        <f t="shared" ref="M1079:N1079" si="98">M1080+M1099+M1121</f>
        <v>52515</v>
      </c>
      <c r="N1079" s="599">
        <f t="shared" si="98"/>
        <v>10079.040000000001</v>
      </c>
      <c r="O1079" s="881">
        <f>N1079/M1079</f>
        <v>0.1919268780348472</v>
      </c>
      <c r="P1079" s="787" t="s">
        <v>395</v>
      </c>
      <c r="Q1079" s="670"/>
    </row>
    <row r="1080" spans="1:18" s="431" customFormat="1" ht="50.25" customHeight="1">
      <c r="A1080" s="987"/>
      <c r="B1080" s="944"/>
      <c r="C1080" s="458"/>
      <c r="D1080" s="444"/>
      <c r="E1080" s="945" t="s">
        <v>412</v>
      </c>
      <c r="F1080" s="976"/>
      <c r="G1080" s="946"/>
      <c r="H1080" s="946"/>
      <c r="I1080" s="946"/>
      <c r="J1080" s="947"/>
      <c r="K1080" s="948"/>
      <c r="L1080" s="949">
        <v>0</v>
      </c>
      <c r="M1080" s="949">
        <v>0</v>
      </c>
      <c r="N1080" s="977">
        <f>SUM(N1082:N1098)</f>
        <v>0</v>
      </c>
      <c r="O1080" s="978">
        <v>0</v>
      </c>
      <c r="P1080" s="780" t="s">
        <v>395</v>
      </c>
      <c r="Q1080" s="908"/>
      <c r="R1080" s="951"/>
    </row>
    <row r="1081" spans="1:18" s="440" customFormat="1" ht="34.5" customHeight="1">
      <c r="A1081" s="984"/>
      <c r="B1081" s="972"/>
      <c r="C1081" s="450"/>
      <c r="D1081" s="438"/>
      <c r="E1081" s="952" t="s">
        <v>13</v>
      </c>
      <c r="F1081" s="985"/>
      <c r="G1081" s="973"/>
      <c r="H1081" s="973"/>
      <c r="I1081" s="973"/>
      <c r="J1081" s="973"/>
      <c r="K1081" s="383"/>
      <c r="L1081" s="980"/>
      <c r="M1081" s="980"/>
      <c r="N1081" s="980"/>
      <c r="O1081" s="981"/>
      <c r="P1081" s="772"/>
      <c r="Q1081" s="812"/>
      <c r="R1081" s="953"/>
    </row>
    <row r="1082" spans="1:18" s="440" customFormat="1" ht="36" customHeight="1">
      <c r="A1082" s="984"/>
      <c r="B1082" s="972"/>
      <c r="C1082" s="450"/>
      <c r="D1082" s="425"/>
      <c r="E1082" s="954" t="s">
        <v>477</v>
      </c>
      <c r="F1082" s="985"/>
      <c r="G1082" s="973"/>
      <c r="H1082" s="973"/>
      <c r="I1082" s="973"/>
      <c r="J1082" s="973"/>
      <c r="K1082" s="383"/>
      <c r="L1082" s="955"/>
      <c r="M1082" s="955"/>
      <c r="N1082" s="983">
        <v>0</v>
      </c>
      <c r="O1082" s="981"/>
      <c r="P1082" s="772"/>
      <c r="Q1082" s="812"/>
      <c r="R1082" s="953"/>
    </row>
    <row r="1083" spans="1:18" s="440" customFormat="1" ht="57" customHeight="1">
      <c r="A1083" s="984"/>
      <c r="B1083" s="972"/>
      <c r="C1083" s="450"/>
      <c r="D1083" s="438"/>
      <c r="E1083" s="954" t="s">
        <v>478</v>
      </c>
      <c r="F1083" s="985"/>
      <c r="G1083" s="973"/>
      <c r="H1083" s="973"/>
      <c r="I1083" s="973"/>
      <c r="J1083" s="973"/>
      <c r="K1083" s="383"/>
      <c r="L1083" s="955"/>
      <c r="M1083" s="955"/>
      <c r="N1083" s="983">
        <v>0</v>
      </c>
      <c r="O1083" s="981"/>
      <c r="P1083" s="772"/>
      <c r="Q1083" s="812"/>
      <c r="R1083" s="953"/>
    </row>
    <row r="1084" spans="1:18" s="440" customFormat="1" ht="33.75" customHeight="1">
      <c r="A1084" s="984"/>
      <c r="B1084" s="972"/>
      <c r="C1084" s="450"/>
      <c r="D1084" s="438"/>
      <c r="E1084" s="954" t="s">
        <v>479</v>
      </c>
      <c r="F1084" s="985"/>
      <c r="G1084" s="973"/>
      <c r="H1084" s="973"/>
      <c r="I1084" s="973"/>
      <c r="J1084" s="973"/>
      <c r="K1084" s="383"/>
      <c r="L1084" s="955"/>
      <c r="M1084" s="955"/>
      <c r="N1084" s="983">
        <v>0</v>
      </c>
      <c r="O1084" s="981"/>
      <c r="P1084" s="772"/>
      <c r="Q1084" s="812"/>
      <c r="R1084" s="953"/>
    </row>
    <row r="1085" spans="1:18" s="440" customFormat="1" ht="36" customHeight="1">
      <c r="A1085" s="984"/>
      <c r="B1085" s="972"/>
      <c r="C1085" s="450"/>
      <c r="D1085" s="438"/>
      <c r="E1085" s="954" t="s">
        <v>480</v>
      </c>
      <c r="F1085" s="985"/>
      <c r="G1085" s="973"/>
      <c r="H1085" s="973"/>
      <c r="I1085" s="973"/>
      <c r="J1085" s="973"/>
      <c r="K1085" s="383"/>
      <c r="L1085" s="955"/>
      <c r="M1085" s="955"/>
      <c r="N1085" s="983">
        <v>0</v>
      </c>
      <c r="O1085" s="981"/>
      <c r="P1085" s="772"/>
      <c r="Q1085" s="812"/>
      <c r="R1085" s="953"/>
    </row>
    <row r="1086" spans="1:18" s="440" customFormat="1" ht="36" customHeight="1">
      <c r="A1086" s="984"/>
      <c r="B1086" s="972"/>
      <c r="C1086" s="450"/>
      <c r="D1086" s="438"/>
      <c r="E1086" s="954" t="s">
        <v>534</v>
      </c>
      <c r="F1086" s="985"/>
      <c r="G1086" s="973"/>
      <c r="H1086" s="973"/>
      <c r="I1086" s="973"/>
      <c r="J1086" s="973"/>
      <c r="K1086" s="383"/>
      <c r="L1086" s="955"/>
      <c r="M1086" s="955"/>
      <c r="N1086" s="983">
        <v>0</v>
      </c>
      <c r="O1086" s="981"/>
      <c r="P1086" s="772"/>
      <c r="Q1086" s="812"/>
      <c r="R1086" s="953"/>
    </row>
    <row r="1087" spans="1:18" s="440" customFormat="1" ht="36" customHeight="1">
      <c r="A1087" s="984"/>
      <c r="B1087" s="972"/>
      <c r="C1087" s="450"/>
      <c r="D1087" s="438"/>
      <c r="E1087" s="954" t="s">
        <v>437</v>
      </c>
      <c r="F1087" s="985"/>
      <c r="G1087" s="973"/>
      <c r="H1087" s="973"/>
      <c r="I1087" s="973"/>
      <c r="J1087" s="973"/>
      <c r="K1087" s="383"/>
      <c r="L1087" s="955"/>
      <c r="M1087" s="955"/>
      <c r="N1087" s="983">
        <v>0</v>
      </c>
      <c r="O1087" s="981"/>
      <c r="P1087" s="772"/>
      <c r="Q1087" s="812"/>
      <c r="R1087" s="953"/>
    </row>
    <row r="1088" spans="1:18" s="440" customFormat="1" ht="36" customHeight="1">
      <c r="A1088" s="984"/>
      <c r="B1088" s="972"/>
      <c r="C1088" s="450"/>
      <c r="D1088" s="438"/>
      <c r="E1088" s="954" t="s">
        <v>438</v>
      </c>
      <c r="F1088" s="985"/>
      <c r="G1088" s="973"/>
      <c r="H1088" s="973"/>
      <c r="I1088" s="973"/>
      <c r="J1088" s="973"/>
      <c r="K1088" s="383"/>
      <c r="L1088" s="955"/>
      <c r="M1088" s="955"/>
      <c r="N1088" s="983">
        <v>0</v>
      </c>
      <c r="O1088" s="981"/>
      <c r="P1088" s="772"/>
      <c r="Q1088" s="812"/>
      <c r="R1088" s="953"/>
    </row>
    <row r="1089" spans="1:18" s="440" customFormat="1" ht="36" customHeight="1">
      <c r="A1089" s="984"/>
      <c r="B1089" s="972"/>
      <c r="C1089" s="450"/>
      <c r="D1089" s="438"/>
      <c r="E1089" s="954" t="s">
        <v>481</v>
      </c>
      <c r="F1089" s="985"/>
      <c r="G1089" s="973"/>
      <c r="H1089" s="973"/>
      <c r="I1089" s="973"/>
      <c r="J1089" s="973"/>
      <c r="K1089" s="383"/>
      <c r="L1089" s="955"/>
      <c r="M1089" s="955"/>
      <c r="N1089" s="983">
        <v>0</v>
      </c>
      <c r="O1089" s="981"/>
      <c r="P1089" s="772"/>
      <c r="Q1089" s="812"/>
      <c r="R1089" s="953"/>
    </row>
    <row r="1090" spans="1:18" s="440" customFormat="1" ht="36" customHeight="1">
      <c r="A1090" s="984"/>
      <c r="B1090" s="972"/>
      <c r="C1090" s="450"/>
      <c r="D1090" s="438"/>
      <c r="E1090" s="954" t="s">
        <v>439</v>
      </c>
      <c r="F1090" s="985"/>
      <c r="G1090" s="973"/>
      <c r="H1090" s="973"/>
      <c r="I1090" s="973"/>
      <c r="J1090" s="973"/>
      <c r="K1090" s="383"/>
      <c r="L1090" s="955"/>
      <c r="M1090" s="955"/>
      <c r="N1090" s="983">
        <v>0</v>
      </c>
      <c r="O1090" s="981"/>
      <c r="P1090" s="772"/>
      <c r="Q1090" s="812"/>
      <c r="R1090" s="953"/>
    </row>
    <row r="1091" spans="1:18" s="440" customFormat="1" ht="36" customHeight="1">
      <c r="A1091" s="984"/>
      <c r="B1091" s="972"/>
      <c r="C1091" s="450"/>
      <c r="D1091" s="438"/>
      <c r="E1091" s="954" t="s">
        <v>440</v>
      </c>
      <c r="F1091" s="985"/>
      <c r="G1091" s="973"/>
      <c r="H1091" s="973"/>
      <c r="I1091" s="973"/>
      <c r="J1091" s="973"/>
      <c r="K1091" s="383"/>
      <c r="L1091" s="955"/>
      <c r="M1091" s="955"/>
      <c r="N1091" s="983">
        <v>0</v>
      </c>
      <c r="O1091" s="981"/>
      <c r="P1091" s="772"/>
      <c r="Q1091" s="812"/>
      <c r="R1091" s="953"/>
    </row>
    <row r="1092" spans="1:18" s="440" customFormat="1" ht="36" customHeight="1">
      <c r="A1092" s="984"/>
      <c r="B1092" s="972"/>
      <c r="C1092" s="450"/>
      <c r="D1092" s="438"/>
      <c r="E1092" s="954" t="s">
        <v>441</v>
      </c>
      <c r="F1092" s="985"/>
      <c r="G1092" s="973"/>
      <c r="H1092" s="973"/>
      <c r="I1092" s="973"/>
      <c r="J1092" s="973"/>
      <c r="K1092" s="383"/>
      <c r="L1092" s="955"/>
      <c r="M1092" s="955"/>
      <c r="N1092" s="983">
        <v>0</v>
      </c>
      <c r="O1092" s="981"/>
      <c r="P1092" s="772"/>
      <c r="Q1092" s="812"/>
      <c r="R1092" s="953"/>
    </row>
    <row r="1093" spans="1:18" s="440" customFormat="1" ht="43.5" customHeight="1">
      <c r="A1093" s="984"/>
      <c r="B1093" s="972"/>
      <c r="C1093" s="450"/>
      <c r="D1093" s="438"/>
      <c r="E1093" s="954" t="s">
        <v>555</v>
      </c>
      <c r="F1093" s="985"/>
      <c r="G1093" s="973"/>
      <c r="H1093" s="973"/>
      <c r="I1093" s="973"/>
      <c r="J1093" s="973"/>
      <c r="K1093" s="383"/>
      <c r="L1093" s="955"/>
      <c r="M1093" s="955"/>
      <c r="N1093" s="983">
        <v>0</v>
      </c>
      <c r="O1093" s="981"/>
      <c r="P1093" s="772"/>
      <c r="Q1093" s="812"/>
      <c r="R1093" s="953"/>
    </row>
    <row r="1094" spans="1:18" s="440" customFormat="1" ht="36" customHeight="1">
      <c r="A1094" s="984"/>
      <c r="B1094" s="972"/>
      <c r="C1094" s="450"/>
      <c r="D1094" s="438"/>
      <c r="E1094" s="954" t="s">
        <v>442</v>
      </c>
      <c r="F1094" s="985"/>
      <c r="G1094" s="973"/>
      <c r="H1094" s="973"/>
      <c r="I1094" s="973"/>
      <c r="J1094" s="973"/>
      <c r="K1094" s="383"/>
      <c r="L1094" s="955"/>
      <c r="M1094" s="955"/>
      <c r="N1094" s="983">
        <v>0</v>
      </c>
      <c r="O1094" s="981"/>
      <c r="P1094" s="772"/>
      <c r="Q1094" s="812"/>
      <c r="R1094" s="953"/>
    </row>
    <row r="1095" spans="1:18" s="440" customFormat="1" ht="36" customHeight="1">
      <c r="A1095" s="984"/>
      <c r="B1095" s="972"/>
      <c r="C1095" s="450"/>
      <c r="D1095" s="438"/>
      <c r="E1095" s="954" t="s">
        <v>443</v>
      </c>
      <c r="F1095" s="985"/>
      <c r="G1095" s="973"/>
      <c r="H1095" s="973"/>
      <c r="I1095" s="973"/>
      <c r="J1095" s="973"/>
      <c r="K1095" s="383"/>
      <c r="L1095" s="955"/>
      <c r="M1095" s="955"/>
      <c r="N1095" s="983">
        <v>0</v>
      </c>
      <c r="O1095" s="981"/>
      <c r="P1095" s="772"/>
      <c r="Q1095" s="812"/>
      <c r="R1095" s="953"/>
    </row>
    <row r="1096" spans="1:18" s="440" customFormat="1" ht="36" customHeight="1">
      <c r="A1096" s="984"/>
      <c r="B1096" s="972"/>
      <c r="C1096" s="450"/>
      <c r="D1096" s="438"/>
      <c r="E1096" s="954" t="s">
        <v>482</v>
      </c>
      <c r="F1096" s="985"/>
      <c r="G1096" s="973"/>
      <c r="H1096" s="973"/>
      <c r="I1096" s="973"/>
      <c r="J1096" s="973"/>
      <c r="K1096" s="383"/>
      <c r="L1096" s="955"/>
      <c r="M1096" s="955"/>
      <c r="N1096" s="983">
        <v>0</v>
      </c>
      <c r="O1096" s="981"/>
      <c r="P1096" s="772"/>
      <c r="Q1096" s="812"/>
      <c r="R1096" s="953"/>
    </row>
    <row r="1097" spans="1:18" s="440" customFormat="1" ht="36" customHeight="1">
      <c r="A1097" s="984"/>
      <c r="B1097" s="972"/>
      <c r="C1097" s="450"/>
      <c r="D1097" s="438"/>
      <c r="E1097" s="954" t="s">
        <v>445</v>
      </c>
      <c r="F1097" s="985"/>
      <c r="G1097" s="973"/>
      <c r="H1097" s="973"/>
      <c r="I1097" s="973"/>
      <c r="J1097" s="973"/>
      <c r="K1097" s="383"/>
      <c r="L1097" s="955"/>
      <c r="M1097" s="955"/>
      <c r="N1097" s="983">
        <v>0</v>
      </c>
      <c r="O1097" s="981"/>
      <c r="P1097" s="772"/>
      <c r="Q1097" s="812"/>
      <c r="R1097" s="953"/>
    </row>
    <row r="1098" spans="1:18" s="440" customFormat="1" ht="36" customHeight="1">
      <c r="A1098" s="984"/>
      <c r="B1098" s="972"/>
      <c r="C1098" s="450"/>
      <c r="D1098" s="438"/>
      <c r="E1098" s="954" t="s">
        <v>446</v>
      </c>
      <c r="F1098" s="985"/>
      <c r="G1098" s="973"/>
      <c r="H1098" s="973"/>
      <c r="I1098" s="973"/>
      <c r="J1098" s="973"/>
      <c r="K1098" s="383"/>
      <c r="L1098" s="955"/>
      <c r="M1098" s="955"/>
      <c r="N1098" s="983">
        <v>0</v>
      </c>
      <c r="O1098" s="981"/>
      <c r="P1098" s="772"/>
      <c r="Q1098" s="812"/>
      <c r="R1098" s="953"/>
    </row>
    <row r="1099" spans="1:18" s="440" customFormat="1" ht="58.5" customHeight="1">
      <c r="A1099" s="984"/>
      <c r="B1099" s="972"/>
      <c r="C1099" s="986"/>
      <c r="D1099" s="438"/>
      <c r="E1099" s="945" t="s">
        <v>418</v>
      </c>
      <c r="F1099" s="949">
        <v>117300</v>
      </c>
      <c r="G1099" s="949">
        <v>111778</v>
      </c>
      <c r="H1099" s="949">
        <v>74715.13</v>
      </c>
      <c r="I1099" s="973"/>
      <c r="J1099" s="973"/>
      <c r="K1099" s="529"/>
      <c r="L1099" s="949">
        <v>15966</v>
      </c>
      <c r="M1099" s="949">
        <v>52515</v>
      </c>
      <c r="N1099" s="977">
        <f>SUM(N1100:N1120)</f>
        <v>10079.040000000001</v>
      </c>
      <c r="O1099" s="978">
        <f>N1099/M1099</f>
        <v>0.1919268780348472</v>
      </c>
      <c r="P1099" s="772" t="s">
        <v>395</v>
      </c>
      <c r="Q1099" s="812"/>
      <c r="R1099" s="953"/>
    </row>
    <row r="1100" spans="1:18" s="440" customFormat="1" ht="83.25" customHeight="1">
      <c r="A1100" s="984"/>
      <c r="B1100" s="972"/>
      <c r="C1100" s="986"/>
      <c r="D1100" s="438"/>
      <c r="E1100" s="957" t="s">
        <v>447</v>
      </c>
      <c r="F1100" s="958"/>
      <c r="G1100" s="958"/>
      <c r="H1100" s="958">
        <v>0</v>
      </c>
      <c r="I1100" s="973"/>
      <c r="J1100" s="973"/>
      <c r="K1100" s="529"/>
      <c r="L1100" s="958"/>
      <c r="M1100" s="958"/>
      <c r="N1100" s="983">
        <v>0</v>
      </c>
      <c r="O1100" s="981"/>
      <c r="P1100" s="772"/>
      <c r="Q1100" s="812"/>
      <c r="R1100" s="953"/>
    </row>
    <row r="1101" spans="1:18" s="440" customFormat="1" ht="36" customHeight="1">
      <c r="A1101" s="984"/>
      <c r="B1101" s="972"/>
      <c r="C1101" s="986"/>
      <c r="D1101" s="438"/>
      <c r="E1101" s="957" t="s">
        <v>448</v>
      </c>
      <c r="F1101" s="958"/>
      <c r="G1101" s="958"/>
      <c r="H1101" s="958">
        <v>0</v>
      </c>
      <c r="I1101" s="973"/>
      <c r="J1101" s="973"/>
      <c r="K1101" s="529"/>
      <c r="L1101" s="958"/>
      <c r="M1101" s="958"/>
      <c r="N1101" s="983">
        <v>0</v>
      </c>
      <c r="O1101" s="981"/>
      <c r="P1101" s="772"/>
      <c r="Q1101" s="812"/>
      <c r="R1101" s="953"/>
    </row>
    <row r="1102" spans="1:18" s="440" customFormat="1" ht="36" customHeight="1">
      <c r="A1102" s="984"/>
      <c r="B1102" s="972"/>
      <c r="C1102" s="986"/>
      <c r="D1102" s="438"/>
      <c r="E1102" s="957" t="s">
        <v>449</v>
      </c>
      <c r="F1102" s="958"/>
      <c r="G1102" s="958"/>
      <c r="H1102" s="958">
        <v>0</v>
      </c>
      <c r="I1102" s="973"/>
      <c r="J1102" s="973"/>
      <c r="K1102" s="529"/>
      <c r="L1102" s="958"/>
      <c r="M1102" s="958"/>
      <c r="N1102" s="983">
        <v>0</v>
      </c>
      <c r="O1102" s="981"/>
      <c r="P1102" s="772"/>
      <c r="Q1102" s="812"/>
      <c r="R1102" s="953"/>
    </row>
    <row r="1103" spans="1:18" s="440" customFormat="1" ht="36" customHeight="1">
      <c r="A1103" s="984"/>
      <c r="B1103" s="972"/>
      <c r="C1103" s="986"/>
      <c r="D1103" s="438"/>
      <c r="E1103" s="957" t="s">
        <v>450</v>
      </c>
      <c r="F1103" s="958"/>
      <c r="G1103" s="958"/>
      <c r="H1103" s="958">
        <v>0</v>
      </c>
      <c r="I1103" s="973"/>
      <c r="J1103" s="973"/>
      <c r="K1103" s="529"/>
      <c r="L1103" s="958"/>
      <c r="M1103" s="958"/>
      <c r="N1103" s="983">
        <v>0</v>
      </c>
      <c r="O1103" s="981"/>
      <c r="P1103" s="772"/>
      <c r="Q1103" s="812"/>
      <c r="R1103" s="953"/>
    </row>
    <row r="1104" spans="1:18" s="440" customFormat="1" ht="36" customHeight="1">
      <c r="A1104" s="984"/>
      <c r="B1104" s="972"/>
      <c r="C1104" s="986"/>
      <c r="D1104" s="438"/>
      <c r="E1104" s="957" t="s">
        <v>451</v>
      </c>
      <c r="F1104" s="958"/>
      <c r="G1104" s="958"/>
      <c r="H1104" s="958">
        <v>0</v>
      </c>
      <c r="I1104" s="973"/>
      <c r="J1104" s="973"/>
      <c r="K1104" s="529"/>
      <c r="L1104" s="958"/>
      <c r="M1104" s="958"/>
      <c r="N1104" s="983">
        <v>0</v>
      </c>
      <c r="O1104" s="981"/>
      <c r="P1104" s="772"/>
      <c r="Q1104" s="812"/>
      <c r="R1104" s="953"/>
    </row>
    <row r="1105" spans="1:18" s="440" customFormat="1" ht="47.25" customHeight="1">
      <c r="A1105" s="984"/>
      <c r="B1105" s="972"/>
      <c r="C1105" s="986"/>
      <c r="D1105" s="438"/>
      <c r="E1105" s="960" t="s">
        <v>486</v>
      </c>
      <c r="F1105" s="958"/>
      <c r="G1105" s="958"/>
      <c r="H1105" s="958">
        <v>4300</v>
      </c>
      <c r="I1105" s="973"/>
      <c r="J1105" s="973"/>
      <c r="K1105" s="529"/>
      <c r="L1105" s="958"/>
      <c r="M1105" s="958"/>
      <c r="N1105" s="983">
        <v>0</v>
      </c>
      <c r="O1105" s="981"/>
      <c r="P1105" s="772"/>
      <c r="Q1105" s="812"/>
      <c r="R1105" s="953"/>
    </row>
    <row r="1106" spans="1:18" s="440" customFormat="1" ht="84" customHeight="1">
      <c r="A1106" s="984"/>
      <c r="B1106" s="972"/>
      <c r="C1106" s="986"/>
      <c r="D1106" s="438"/>
      <c r="E1106" s="957" t="s">
        <v>452</v>
      </c>
      <c r="F1106" s="958"/>
      <c r="G1106" s="958"/>
      <c r="H1106" s="958">
        <v>0</v>
      </c>
      <c r="I1106" s="973"/>
      <c r="J1106" s="973"/>
      <c r="K1106" s="529"/>
      <c r="L1106" s="958"/>
      <c r="M1106" s="958"/>
      <c r="N1106" s="983">
        <v>9898.0400000000009</v>
      </c>
      <c r="O1106" s="981"/>
      <c r="P1106" s="772"/>
      <c r="Q1106" s="812"/>
      <c r="R1106" s="953"/>
    </row>
    <row r="1107" spans="1:18" s="440" customFormat="1" ht="54.75" customHeight="1">
      <c r="A1107" s="984"/>
      <c r="B1107" s="972"/>
      <c r="C1107" s="986"/>
      <c r="D1107" s="438"/>
      <c r="E1107" s="957" t="s">
        <v>453</v>
      </c>
      <c r="F1107" s="958"/>
      <c r="G1107" s="958"/>
      <c r="H1107" s="958">
        <v>0</v>
      </c>
      <c r="I1107" s="973"/>
      <c r="J1107" s="973"/>
      <c r="K1107" s="529"/>
      <c r="L1107" s="958"/>
      <c r="M1107" s="958"/>
      <c r="N1107" s="983">
        <v>0</v>
      </c>
      <c r="O1107" s="981"/>
      <c r="P1107" s="772"/>
      <c r="Q1107" s="812"/>
      <c r="R1107" s="953"/>
    </row>
    <row r="1108" spans="1:18" s="440" customFormat="1" ht="36" customHeight="1">
      <c r="A1108" s="984"/>
      <c r="B1108" s="972"/>
      <c r="C1108" s="986"/>
      <c r="D1108" s="438"/>
      <c r="E1108" s="957" t="s">
        <v>454</v>
      </c>
      <c r="F1108" s="958"/>
      <c r="G1108" s="958"/>
      <c r="H1108" s="958">
        <v>0</v>
      </c>
      <c r="I1108" s="973"/>
      <c r="J1108" s="973"/>
      <c r="K1108" s="529"/>
      <c r="L1108" s="958"/>
      <c r="M1108" s="958"/>
      <c r="N1108" s="983">
        <v>0</v>
      </c>
      <c r="O1108" s="981"/>
      <c r="P1108" s="772"/>
      <c r="Q1108" s="812"/>
      <c r="R1108" s="953"/>
    </row>
    <row r="1109" spans="1:18" s="440" customFormat="1" ht="54.75" customHeight="1">
      <c r="A1109" s="984"/>
      <c r="B1109" s="972"/>
      <c r="C1109" s="986"/>
      <c r="D1109" s="438"/>
      <c r="E1109" s="957" t="s">
        <v>455</v>
      </c>
      <c r="F1109" s="958"/>
      <c r="G1109" s="958"/>
      <c r="H1109" s="958">
        <v>0</v>
      </c>
      <c r="I1109" s="973"/>
      <c r="J1109" s="973"/>
      <c r="K1109" s="529"/>
      <c r="L1109" s="958"/>
      <c r="M1109" s="958"/>
      <c r="N1109" s="983">
        <v>0</v>
      </c>
      <c r="O1109" s="981"/>
      <c r="P1109" s="772"/>
      <c r="Q1109" s="812"/>
      <c r="R1109" s="953"/>
    </row>
    <row r="1110" spans="1:18" s="440" customFormat="1" ht="36" customHeight="1">
      <c r="A1110" s="984"/>
      <c r="B1110" s="972"/>
      <c r="C1110" s="986"/>
      <c r="D1110" s="438"/>
      <c r="E1110" s="957" t="s">
        <v>456</v>
      </c>
      <c r="F1110" s="958"/>
      <c r="G1110" s="958"/>
      <c r="H1110" s="958">
        <v>0</v>
      </c>
      <c r="I1110" s="973"/>
      <c r="J1110" s="973"/>
      <c r="K1110" s="529"/>
      <c r="L1110" s="958"/>
      <c r="M1110" s="958"/>
      <c r="N1110" s="983">
        <v>0</v>
      </c>
      <c r="O1110" s="981"/>
      <c r="P1110" s="772"/>
      <c r="Q1110" s="812"/>
      <c r="R1110" s="953"/>
    </row>
    <row r="1111" spans="1:18" s="440" customFormat="1" ht="54.75" customHeight="1">
      <c r="A1111" s="984"/>
      <c r="B1111" s="972"/>
      <c r="C1111" s="986"/>
      <c r="D1111" s="438"/>
      <c r="E1111" s="957" t="s">
        <v>457</v>
      </c>
      <c r="F1111" s="958"/>
      <c r="G1111" s="958"/>
      <c r="H1111" s="958">
        <v>0</v>
      </c>
      <c r="I1111" s="973"/>
      <c r="J1111" s="973"/>
      <c r="K1111" s="529"/>
      <c r="L1111" s="958"/>
      <c r="M1111" s="958"/>
      <c r="N1111" s="983">
        <v>0</v>
      </c>
      <c r="O1111" s="981"/>
      <c r="P1111" s="772"/>
      <c r="Q1111" s="812"/>
      <c r="R1111" s="953"/>
    </row>
    <row r="1112" spans="1:18" s="440" customFormat="1" ht="36" customHeight="1">
      <c r="A1112" s="984"/>
      <c r="B1112" s="972"/>
      <c r="C1112" s="986"/>
      <c r="D1112" s="438"/>
      <c r="E1112" s="957" t="s">
        <v>458</v>
      </c>
      <c r="F1112" s="961"/>
      <c r="G1112" s="961"/>
      <c r="H1112" s="958">
        <v>32231.32</v>
      </c>
      <c r="I1112" s="973"/>
      <c r="J1112" s="973"/>
      <c r="K1112" s="529"/>
      <c r="L1112" s="961"/>
      <c r="M1112" s="961"/>
      <c r="N1112" s="983">
        <v>0</v>
      </c>
      <c r="O1112" s="981"/>
      <c r="P1112" s="772"/>
      <c r="Q1112" s="812"/>
      <c r="R1112" s="953"/>
    </row>
    <row r="1113" spans="1:18" s="440" customFormat="1" ht="36" customHeight="1">
      <c r="A1113" s="984"/>
      <c r="B1113" s="972"/>
      <c r="C1113" s="986"/>
      <c r="D1113" s="438"/>
      <c r="E1113" s="957" t="s">
        <v>459</v>
      </c>
      <c r="F1113" s="961"/>
      <c r="G1113" s="961"/>
      <c r="H1113" s="958">
        <v>0</v>
      </c>
      <c r="I1113" s="973"/>
      <c r="J1113" s="973"/>
      <c r="K1113" s="529"/>
      <c r="L1113" s="961"/>
      <c r="M1113" s="961"/>
      <c r="N1113" s="983">
        <v>0</v>
      </c>
      <c r="O1113" s="981"/>
      <c r="P1113" s="772"/>
      <c r="Q1113" s="812"/>
      <c r="R1113" s="953"/>
    </row>
    <row r="1114" spans="1:18" s="440" customFormat="1" ht="36" customHeight="1">
      <c r="A1114" s="984"/>
      <c r="B1114" s="972"/>
      <c r="C1114" s="986"/>
      <c r="D1114" s="438"/>
      <c r="E1114" s="957" t="s">
        <v>460</v>
      </c>
      <c r="F1114" s="961"/>
      <c r="G1114" s="961"/>
      <c r="H1114" s="958">
        <v>692</v>
      </c>
      <c r="I1114" s="973"/>
      <c r="J1114" s="973"/>
      <c r="K1114" s="529"/>
      <c r="L1114" s="961"/>
      <c r="M1114" s="961"/>
      <c r="N1114" s="983">
        <v>0</v>
      </c>
      <c r="O1114" s="981"/>
      <c r="P1114" s="772"/>
      <c r="Q1114" s="812"/>
      <c r="R1114" s="953"/>
    </row>
    <row r="1115" spans="1:18" s="440" customFormat="1" ht="36" customHeight="1">
      <c r="A1115" s="984"/>
      <c r="B1115" s="972"/>
      <c r="C1115" s="986"/>
      <c r="D1115" s="438"/>
      <c r="E1115" s="957" t="s">
        <v>461</v>
      </c>
      <c r="F1115" s="961"/>
      <c r="G1115" s="961"/>
      <c r="H1115" s="958">
        <v>35817</v>
      </c>
      <c r="I1115" s="973"/>
      <c r="J1115" s="973"/>
      <c r="K1115" s="529"/>
      <c r="L1115" s="961"/>
      <c r="M1115" s="961"/>
      <c r="N1115" s="983">
        <v>0</v>
      </c>
      <c r="O1115" s="981"/>
      <c r="P1115" s="772"/>
      <c r="Q1115" s="812"/>
      <c r="R1115" s="953"/>
    </row>
    <row r="1116" spans="1:18" s="440" customFormat="1" ht="36" customHeight="1">
      <c r="A1116" s="984"/>
      <c r="B1116" s="972"/>
      <c r="C1116" s="986"/>
      <c r="D1116" s="438"/>
      <c r="E1116" s="957" t="s">
        <v>462</v>
      </c>
      <c r="F1116" s="961"/>
      <c r="G1116" s="961"/>
      <c r="H1116" s="958">
        <v>0</v>
      </c>
      <c r="I1116" s="973"/>
      <c r="J1116" s="973"/>
      <c r="K1116" s="529"/>
      <c r="L1116" s="961"/>
      <c r="M1116" s="961"/>
      <c r="N1116" s="983">
        <v>0</v>
      </c>
      <c r="O1116" s="981"/>
      <c r="P1116" s="772"/>
      <c r="Q1116" s="812"/>
      <c r="R1116" s="953"/>
    </row>
    <row r="1117" spans="1:18" s="440" customFormat="1" ht="61.5" customHeight="1">
      <c r="A1117" s="984"/>
      <c r="B1117" s="972"/>
      <c r="C1117" s="986"/>
      <c r="D1117" s="438"/>
      <c r="E1117" s="957" t="s">
        <v>463</v>
      </c>
      <c r="F1117" s="961"/>
      <c r="G1117" s="961"/>
      <c r="H1117" s="958">
        <v>0</v>
      </c>
      <c r="I1117" s="973"/>
      <c r="J1117" s="973"/>
      <c r="K1117" s="529"/>
      <c r="L1117" s="961"/>
      <c r="M1117" s="961"/>
      <c r="N1117" s="983">
        <v>181</v>
      </c>
      <c r="O1117" s="981"/>
      <c r="P1117" s="772"/>
      <c r="Q1117" s="812"/>
      <c r="R1117" s="953"/>
    </row>
    <row r="1118" spans="1:18" s="440" customFormat="1" ht="36" customHeight="1">
      <c r="A1118" s="984"/>
      <c r="B1118" s="972"/>
      <c r="C1118" s="986"/>
      <c r="D1118" s="438"/>
      <c r="E1118" s="957" t="s">
        <v>464</v>
      </c>
      <c r="F1118" s="961"/>
      <c r="G1118" s="961"/>
      <c r="H1118" s="958">
        <v>0</v>
      </c>
      <c r="I1118" s="973"/>
      <c r="J1118" s="973"/>
      <c r="K1118" s="529"/>
      <c r="L1118" s="961"/>
      <c r="M1118" s="961"/>
      <c r="N1118" s="983">
        <v>0</v>
      </c>
      <c r="O1118" s="981"/>
      <c r="P1118" s="772"/>
      <c r="Q1118" s="812"/>
      <c r="R1118" s="953"/>
    </row>
    <row r="1119" spans="1:18" s="440" customFormat="1" ht="36" customHeight="1">
      <c r="A1119" s="984"/>
      <c r="B1119" s="972"/>
      <c r="C1119" s="986"/>
      <c r="D1119" s="438"/>
      <c r="E1119" s="957" t="s">
        <v>465</v>
      </c>
      <c r="F1119" s="961"/>
      <c r="G1119" s="961"/>
      <c r="H1119" s="958">
        <v>0</v>
      </c>
      <c r="I1119" s="973"/>
      <c r="J1119" s="973"/>
      <c r="K1119" s="529"/>
      <c r="L1119" s="961"/>
      <c r="M1119" s="961"/>
      <c r="N1119" s="983">
        <v>0</v>
      </c>
      <c r="O1119" s="981"/>
      <c r="P1119" s="772"/>
      <c r="Q1119" s="812"/>
      <c r="R1119" s="953"/>
    </row>
    <row r="1120" spans="1:18" s="440" customFormat="1" ht="36" customHeight="1">
      <c r="A1120" s="984"/>
      <c r="B1120" s="972"/>
      <c r="C1120" s="986"/>
      <c r="D1120" s="438"/>
      <c r="E1120" s="957" t="s">
        <v>466</v>
      </c>
      <c r="F1120" s="961"/>
      <c r="G1120" s="961"/>
      <c r="H1120" s="958">
        <v>1674.81</v>
      </c>
      <c r="I1120" s="973"/>
      <c r="J1120" s="973"/>
      <c r="K1120" s="529"/>
      <c r="L1120" s="961"/>
      <c r="M1120" s="961"/>
      <c r="N1120" s="983">
        <v>0</v>
      </c>
      <c r="O1120" s="981"/>
      <c r="P1120" s="772"/>
      <c r="Q1120" s="812"/>
      <c r="R1120" s="953"/>
    </row>
    <row r="1121" spans="1:18" s="440" customFormat="1" ht="57" customHeight="1">
      <c r="A1121" s="984"/>
      <c r="B1121" s="972"/>
      <c r="C1121" s="986"/>
      <c r="D1121" s="438"/>
      <c r="E1121" s="945" t="s">
        <v>467</v>
      </c>
      <c r="F1121" s="949">
        <v>117300</v>
      </c>
      <c r="G1121" s="949">
        <v>111778</v>
      </c>
      <c r="H1121" s="949">
        <v>74715.13</v>
      </c>
      <c r="I1121" s="973"/>
      <c r="J1121" s="973"/>
      <c r="K1121" s="529"/>
      <c r="L1121" s="949">
        <v>0</v>
      </c>
      <c r="M1121" s="949">
        <v>0</v>
      </c>
      <c r="N1121" s="949">
        <v>0</v>
      </c>
      <c r="O1121" s="978">
        <v>0</v>
      </c>
      <c r="P1121" s="772" t="s">
        <v>395</v>
      </c>
      <c r="Q1121" s="812"/>
      <c r="R1121" s="953"/>
    </row>
    <row r="1122" spans="1:18" s="193" customFormat="1" ht="45" customHeight="1">
      <c r="A1122" s="487"/>
      <c r="B1122" s="173"/>
      <c r="C1122" s="190" t="s">
        <v>52</v>
      </c>
      <c r="D1122" s="189"/>
      <c r="E1122" s="188" t="s">
        <v>51</v>
      </c>
      <c r="F1122" s="187"/>
      <c r="G1122" s="187"/>
      <c r="H1122" s="187"/>
      <c r="I1122" s="187"/>
      <c r="J1122" s="187"/>
      <c r="K1122" s="187">
        <f>K1123+K1209</f>
        <v>224623</v>
      </c>
      <c r="L1122" s="432">
        <f>L1123+L1209+L1166</f>
        <v>224623</v>
      </c>
      <c r="M1122" s="432">
        <f t="shared" ref="M1122:N1122" si="99">M1123+M1209+M1166</f>
        <v>262022</v>
      </c>
      <c r="N1122" s="432">
        <f t="shared" si="99"/>
        <v>109514.51</v>
      </c>
      <c r="O1122" s="819">
        <f>N1122/M1122</f>
        <v>0.41795921716497086</v>
      </c>
      <c r="P1122" s="781" t="s">
        <v>395</v>
      </c>
      <c r="Q1122" s="665"/>
    </row>
    <row r="1123" spans="1:18" s="183" customFormat="1" ht="45" customHeight="1">
      <c r="A1123" s="487"/>
      <c r="B1123" s="173"/>
      <c r="C1123" s="456">
        <v>1</v>
      </c>
      <c r="D1123" s="444"/>
      <c r="E1123" s="548" t="s">
        <v>282</v>
      </c>
      <c r="F1123" s="549"/>
      <c r="G1123" s="428"/>
      <c r="H1123" s="428"/>
      <c r="I1123" s="428"/>
      <c r="J1123" s="421"/>
      <c r="K1123" s="428">
        <v>84232</v>
      </c>
      <c r="L1123" s="428">
        <f>L1124+L1143+L1165</f>
        <v>84232</v>
      </c>
      <c r="M1123" s="428">
        <f t="shared" ref="M1123:N1123" si="100">M1124+M1143+M1165</f>
        <v>68546</v>
      </c>
      <c r="N1123" s="428">
        <f t="shared" si="100"/>
        <v>27599.389999999996</v>
      </c>
      <c r="O1123" s="872">
        <f>N1123/M1123</f>
        <v>0.40264041665450934</v>
      </c>
      <c r="P1123" s="782" t="s">
        <v>395</v>
      </c>
      <c r="Q1123" s="667"/>
    </row>
    <row r="1124" spans="1:18" s="431" customFormat="1" ht="39.9" customHeight="1">
      <c r="A1124" s="429"/>
      <c r="B1124" s="944"/>
      <c r="C1124" s="458"/>
      <c r="D1124" s="444"/>
      <c r="E1124" s="945" t="s">
        <v>412</v>
      </c>
      <c r="F1124" s="965"/>
      <c r="G1124" s="946"/>
      <c r="H1124" s="946"/>
      <c r="I1124" s="946"/>
      <c r="J1124" s="947"/>
      <c r="K1124" s="948"/>
      <c r="L1124" s="949">
        <v>67541</v>
      </c>
      <c r="M1124" s="949">
        <v>44855</v>
      </c>
      <c r="N1124" s="956">
        <f>SUM(N1126:N1142)</f>
        <v>21403.089999999997</v>
      </c>
      <c r="O1124" s="890">
        <f>N1124/M1124</f>
        <v>0.47716174339538503</v>
      </c>
      <c r="P1124" s="780" t="s">
        <v>395</v>
      </c>
      <c r="Q1124" s="908"/>
      <c r="R1124" s="951"/>
    </row>
    <row r="1125" spans="1:18" s="440" customFormat="1" ht="34.5" customHeight="1">
      <c r="A1125" s="424"/>
      <c r="B1125" s="706"/>
      <c r="C1125" s="450"/>
      <c r="D1125" s="438"/>
      <c r="E1125" s="952" t="s">
        <v>13</v>
      </c>
      <c r="F1125" s="519"/>
      <c r="G1125" s="734"/>
      <c r="H1125" s="734"/>
      <c r="I1125" s="734"/>
      <c r="J1125" s="734"/>
      <c r="K1125" s="383"/>
      <c r="L1125" s="699"/>
      <c r="M1125" s="699"/>
      <c r="N1125" s="699"/>
      <c r="O1125" s="839"/>
      <c r="P1125" s="772"/>
      <c r="Q1125" s="812"/>
      <c r="R1125" s="953"/>
    </row>
    <row r="1126" spans="1:18" s="440" customFormat="1" ht="36" customHeight="1">
      <c r="A1126" s="424"/>
      <c r="B1126" s="706"/>
      <c r="C1126" s="450"/>
      <c r="D1126" s="425"/>
      <c r="E1126" s="954" t="s">
        <v>487</v>
      </c>
      <c r="F1126" s="519"/>
      <c r="G1126" s="734"/>
      <c r="H1126" s="734"/>
      <c r="I1126" s="734"/>
      <c r="J1126" s="734"/>
      <c r="K1126" s="383"/>
      <c r="L1126" s="955"/>
      <c r="M1126" s="955"/>
      <c r="N1126" s="959">
        <v>10233.129999999999</v>
      </c>
      <c r="O1126" s="839"/>
      <c r="P1126" s="772"/>
      <c r="Q1126" s="812"/>
      <c r="R1126" s="953"/>
    </row>
    <row r="1127" spans="1:18" s="440" customFormat="1" ht="57" customHeight="1">
      <c r="A1127" s="424"/>
      <c r="B1127" s="706"/>
      <c r="C1127" s="450"/>
      <c r="D1127" s="438"/>
      <c r="E1127" s="954" t="s">
        <v>478</v>
      </c>
      <c r="F1127" s="519"/>
      <c r="G1127" s="734"/>
      <c r="H1127" s="734"/>
      <c r="I1127" s="734"/>
      <c r="J1127" s="734"/>
      <c r="K1127" s="383"/>
      <c r="L1127" s="955"/>
      <c r="M1127" s="955"/>
      <c r="N1127" s="959">
        <v>0</v>
      </c>
      <c r="O1127" s="839"/>
      <c r="P1127" s="772"/>
      <c r="Q1127" s="812"/>
      <c r="R1127" s="953"/>
    </row>
    <row r="1128" spans="1:18" s="440" customFormat="1" ht="62.25" customHeight="1">
      <c r="A1128" s="424"/>
      <c r="B1128" s="706"/>
      <c r="C1128" s="450"/>
      <c r="D1128" s="438"/>
      <c r="E1128" s="954" t="s">
        <v>488</v>
      </c>
      <c r="F1128" s="519"/>
      <c r="G1128" s="734"/>
      <c r="H1128" s="734"/>
      <c r="I1128" s="734"/>
      <c r="J1128" s="734"/>
      <c r="K1128" s="383"/>
      <c r="L1128" s="955"/>
      <c r="M1128" s="955"/>
      <c r="N1128" s="959">
        <v>559.32000000000005</v>
      </c>
      <c r="O1128" s="839"/>
      <c r="P1128" s="772"/>
      <c r="Q1128" s="812"/>
      <c r="R1128" s="953"/>
    </row>
    <row r="1129" spans="1:18" s="440" customFormat="1" ht="37.5" customHeight="1">
      <c r="A1129" s="424"/>
      <c r="B1129" s="706"/>
      <c r="C1129" s="450"/>
      <c r="D1129" s="438"/>
      <c r="E1129" s="954" t="s">
        <v>489</v>
      </c>
      <c r="F1129" s="519"/>
      <c r="G1129" s="734"/>
      <c r="H1129" s="734"/>
      <c r="I1129" s="734"/>
      <c r="J1129" s="734"/>
      <c r="K1129" s="383"/>
      <c r="L1129" s="955"/>
      <c r="M1129" s="955"/>
      <c r="N1129" s="959">
        <v>71.73</v>
      </c>
      <c r="O1129" s="839"/>
      <c r="P1129" s="772"/>
      <c r="Q1129" s="812"/>
      <c r="R1129" s="953"/>
    </row>
    <row r="1130" spans="1:18" s="440" customFormat="1" ht="36" customHeight="1">
      <c r="A1130" s="424"/>
      <c r="B1130" s="706"/>
      <c r="C1130" s="450"/>
      <c r="D1130" s="438"/>
      <c r="E1130" s="954" t="s">
        <v>436</v>
      </c>
      <c r="F1130" s="519"/>
      <c r="G1130" s="734"/>
      <c r="H1130" s="734"/>
      <c r="I1130" s="734"/>
      <c r="J1130" s="734"/>
      <c r="K1130" s="383"/>
      <c r="L1130" s="955"/>
      <c r="M1130" s="955"/>
      <c r="N1130" s="959">
        <v>0</v>
      </c>
      <c r="O1130" s="839"/>
      <c r="P1130" s="772"/>
      <c r="Q1130" s="812"/>
      <c r="R1130" s="953"/>
    </row>
    <row r="1131" spans="1:18" s="440" customFormat="1" ht="36" customHeight="1">
      <c r="A1131" s="424"/>
      <c r="B1131" s="706"/>
      <c r="C1131" s="450"/>
      <c r="D1131" s="438"/>
      <c r="E1131" s="954" t="s">
        <v>437</v>
      </c>
      <c r="F1131" s="519"/>
      <c r="G1131" s="734"/>
      <c r="H1131" s="734"/>
      <c r="I1131" s="734"/>
      <c r="J1131" s="734"/>
      <c r="K1131" s="383"/>
      <c r="L1131" s="955"/>
      <c r="M1131" s="955"/>
      <c r="N1131" s="959">
        <v>0</v>
      </c>
      <c r="O1131" s="839"/>
      <c r="P1131" s="772"/>
      <c r="Q1131" s="812"/>
      <c r="R1131" s="953"/>
    </row>
    <row r="1132" spans="1:18" s="440" customFormat="1" ht="36" customHeight="1">
      <c r="A1132" s="424"/>
      <c r="B1132" s="706"/>
      <c r="C1132" s="450"/>
      <c r="D1132" s="438"/>
      <c r="E1132" s="954" t="s">
        <v>438</v>
      </c>
      <c r="F1132" s="519"/>
      <c r="G1132" s="734"/>
      <c r="H1132" s="734"/>
      <c r="I1132" s="734"/>
      <c r="J1132" s="734"/>
      <c r="K1132" s="383"/>
      <c r="L1132" s="955"/>
      <c r="M1132" s="955"/>
      <c r="N1132" s="959">
        <v>0</v>
      </c>
      <c r="O1132" s="839"/>
      <c r="P1132" s="772"/>
      <c r="Q1132" s="812"/>
      <c r="R1132" s="953"/>
    </row>
    <row r="1133" spans="1:18" s="440" customFormat="1" ht="36" customHeight="1">
      <c r="A1133" s="424"/>
      <c r="B1133" s="706"/>
      <c r="C1133" s="450"/>
      <c r="D1133" s="438"/>
      <c r="E1133" s="954" t="s">
        <v>490</v>
      </c>
      <c r="F1133" s="519"/>
      <c r="G1133" s="734"/>
      <c r="H1133" s="734"/>
      <c r="I1133" s="734"/>
      <c r="J1133" s="734"/>
      <c r="K1133" s="383"/>
      <c r="L1133" s="955"/>
      <c r="M1133" s="955"/>
      <c r="N1133" s="959">
        <v>1573.21</v>
      </c>
      <c r="O1133" s="839"/>
      <c r="P1133" s="772"/>
      <c r="Q1133" s="812"/>
      <c r="R1133" s="953"/>
    </row>
    <row r="1134" spans="1:18" s="440" customFormat="1" ht="36" customHeight="1">
      <c r="A1134" s="424"/>
      <c r="B1134" s="706"/>
      <c r="C1134" s="450"/>
      <c r="D1134" s="438"/>
      <c r="E1134" s="954" t="s">
        <v>439</v>
      </c>
      <c r="F1134" s="519"/>
      <c r="G1134" s="734"/>
      <c r="H1134" s="734"/>
      <c r="I1134" s="734"/>
      <c r="J1134" s="734"/>
      <c r="K1134" s="383"/>
      <c r="L1134" s="955"/>
      <c r="M1134" s="955"/>
      <c r="N1134" s="959">
        <v>0</v>
      </c>
      <c r="O1134" s="839"/>
      <c r="P1134" s="772"/>
      <c r="Q1134" s="812"/>
      <c r="R1134" s="953"/>
    </row>
    <row r="1135" spans="1:18" s="440" customFormat="1" ht="36" customHeight="1">
      <c r="A1135" s="424"/>
      <c r="B1135" s="706"/>
      <c r="C1135" s="450"/>
      <c r="D1135" s="438"/>
      <c r="E1135" s="954" t="s">
        <v>440</v>
      </c>
      <c r="F1135" s="519"/>
      <c r="G1135" s="734"/>
      <c r="H1135" s="734"/>
      <c r="I1135" s="734"/>
      <c r="J1135" s="734"/>
      <c r="K1135" s="383"/>
      <c r="L1135" s="955"/>
      <c r="M1135" s="955"/>
      <c r="N1135" s="959">
        <v>0</v>
      </c>
      <c r="O1135" s="839"/>
      <c r="P1135" s="772"/>
      <c r="Q1135" s="812"/>
      <c r="R1135" s="953"/>
    </row>
    <row r="1136" spans="1:18" s="440" customFormat="1" ht="36" customHeight="1">
      <c r="A1136" s="424"/>
      <c r="B1136" s="706"/>
      <c r="C1136" s="450"/>
      <c r="D1136" s="438"/>
      <c r="E1136" s="954" t="s">
        <v>441</v>
      </c>
      <c r="F1136" s="519"/>
      <c r="G1136" s="734"/>
      <c r="H1136" s="734"/>
      <c r="I1136" s="734"/>
      <c r="J1136" s="734"/>
      <c r="K1136" s="383"/>
      <c r="L1136" s="955"/>
      <c r="M1136" s="955"/>
      <c r="N1136" s="959">
        <v>0</v>
      </c>
      <c r="O1136" s="839"/>
      <c r="P1136" s="772"/>
      <c r="Q1136" s="812"/>
      <c r="R1136" s="953"/>
    </row>
    <row r="1137" spans="1:18" s="440" customFormat="1" ht="34.5" customHeight="1">
      <c r="A1137" s="424"/>
      <c r="B1137" s="706"/>
      <c r="C1137" s="450"/>
      <c r="D1137" s="438"/>
      <c r="E1137" s="954" t="s">
        <v>491</v>
      </c>
      <c r="F1137" s="519"/>
      <c r="G1137" s="734"/>
      <c r="H1137" s="734"/>
      <c r="I1137" s="734"/>
      <c r="J1137" s="734"/>
      <c r="K1137" s="383"/>
      <c r="L1137" s="955"/>
      <c r="M1137" s="955"/>
      <c r="N1137" s="959">
        <v>0</v>
      </c>
      <c r="O1137" s="839"/>
      <c r="P1137" s="772"/>
      <c r="Q1137" s="812"/>
      <c r="R1137" s="953"/>
    </row>
    <row r="1138" spans="1:18" s="440" customFormat="1" ht="36" customHeight="1">
      <c r="A1138" s="424"/>
      <c r="B1138" s="706"/>
      <c r="C1138" s="450"/>
      <c r="D1138" s="438"/>
      <c r="E1138" s="954" t="s">
        <v>442</v>
      </c>
      <c r="F1138" s="519"/>
      <c r="G1138" s="734"/>
      <c r="H1138" s="734"/>
      <c r="I1138" s="734"/>
      <c r="J1138" s="734"/>
      <c r="K1138" s="383"/>
      <c r="L1138" s="955"/>
      <c r="M1138" s="955"/>
      <c r="N1138" s="959">
        <v>0</v>
      </c>
      <c r="O1138" s="839"/>
      <c r="P1138" s="772"/>
      <c r="Q1138" s="812"/>
      <c r="R1138" s="953"/>
    </row>
    <row r="1139" spans="1:18" s="440" customFormat="1" ht="36" customHeight="1">
      <c r="A1139" s="424"/>
      <c r="B1139" s="706"/>
      <c r="C1139" s="450"/>
      <c r="D1139" s="438"/>
      <c r="E1139" s="954" t="s">
        <v>443</v>
      </c>
      <c r="F1139" s="519"/>
      <c r="G1139" s="734"/>
      <c r="H1139" s="734"/>
      <c r="I1139" s="734"/>
      <c r="J1139" s="734"/>
      <c r="K1139" s="383"/>
      <c r="L1139" s="955"/>
      <c r="M1139" s="955"/>
      <c r="N1139" s="959">
        <v>4407.1000000000004</v>
      </c>
      <c r="O1139" s="839"/>
      <c r="P1139" s="772"/>
      <c r="Q1139" s="812"/>
      <c r="R1139" s="953"/>
    </row>
    <row r="1140" spans="1:18" s="440" customFormat="1" ht="36" customHeight="1">
      <c r="A1140" s="424"/>
      <c r="B1140" s="706"/>
      <c r="C1140" s="450"/>
      <c r="D1140" s="438"/>
      <c r="E1140" s="954" t="s">
        <v>485</v>
      </c>
      <c r="F1140" s="519"/>
      <c r="G1140" s="734"/>
      <c r="H1140" s="734"/>
      <c r="I1140" s="734"/>
      <c r="J1140" s="734"/>
      <c r="K1140" s="383"/>
      <c r="L1140" s="955"/>
      <c r="M1140" s="955"/>
      <c r="N1140" s="959">
        <v>0</v>
      </c>
      <c r="O1140" s="839"/>
      <c r="P1140" s="772"/>
      <c r="Q1140" s="812"/>
      <c r="R1140" s="953"/>
    </row>
    <row r="1141" spans="1:18" s="440" customFormat="1" ht="36" customHeight="1">
      <c r="A1141" s="424"/>
      <c r="B1141" s="706"/>
      <c r="C1141" s="450"/>
      <c r="D1141" s="438"/>
      <c r="E1141" s="954" t="s">
        <v>445</v>
      </c>
      <c r="F1141" s="519"/>
      <c r="G1141" s="734"/>
      <c r="H1141" s="734"/>
      <c r="I1141" s="734"/>
      <c r="J1141" s="734"/>
      <c r="K1141" s="383"/>
      <c r="L1141" s="955"/>
      <c r="M1141" s="955"/>
      <c r="N1141" s="959">
        <v>0</v>
      </c>
      <c r="O1141" s="839"/>
      <c r="P1141" s="772"/>
      <c r="Q1141" s="812"/>
      <c r="R1141" s="953"/>
    </row>
    <row r="1142" spans="1:18" s="440" customFormat="1" ht="36" customHeight="1">
      <c r="A1142" s="424"/>
      <c r="B1142" s="706"/>
      <c r="C1142" s="450"/>
      <c r="D1142" s="438"/>
      <c r="E1142" s="954" t="s">
        <v>446</v>
      </c>
      <c r="F1142" s="519"/>
      <c r="G1142" s="734"/>
      <c r="H1142" s="734"/>
      <c r="I1142" s="734"/>
      <c r="J1142" s="734"/>
      <c r="K1142" s="383"/>
      <c r="L1142" s="955"/>
      <c r="M1142" s="955"/>
      <c r="N1142" s="959">
        <v>4558.6000000000004</v>
      </c>
      <c r="O1142" s="839"/>
      <c r="P1142" s="772"/>
      <c r="Q1142" s="812"/>
      <c r="R1142" s="953"/>
    </row>
    <row r="1143" spans="1:18" s="440" customFormat="1" ht="57" customHeight="1">
      <c r="A1143" s="424"/>
      <c r="B1143" s="706"/>
      <c r="C1143" s="489"/>
      <c r="D1143" s="438"/>
      <c r="E1143" s="945" t="s">
        <v>418</v>
      </c>
      <c r="F1143" s="949">
        <v>117300</v>
      </c>
      <c r="G1143" s="949">
        <v>111778</v>
      </c>
      <c r="H1143" s="949">
        <v>74715.13</v>
      </c>
      <c r="I1143" s="734"/>
      <c r="J1143" s="734"/>
      <c r="K1143" s="529"/>
      <c r="L1143" s="949">
        <v>16691</v>
      </c>
      <c r="M1143" s="949">
        <v>23691</v>
      </c>
      <c r="N1143" s="956">
        <f>SUM(N1144:N1164)</f>
        <v>6196.3</v>
      </c>
      <c r="O1143" s="890">
        <f>N1143/M1143</f>
        <v>0.26154657886961297</v>
      </c>
      <c r="P1143" s="772" t="s">
        <v>395</v>
      </c>
      <c r="Q1143" s="812"/>
      <c r="R1143" s="953"/>
    </row>
    <row r="1144" spans="1:18" s="440" customFormat="1" ht="82.5" customHeight="1">
      <c r="A1144" s="424"/>
      <c r="B1144" s="706"/>
      <c r="C1144" s="489"/>
      <c r="D1144" s="438"/>
      <c r="E1144" s="957" t="s">
        <v>447</v>
      </c>
      <c r="F1144" s="958"/>
      <c r="G1144" s="958"/>
      <c r="H1144" s="958">
        <v>0</v>
      </c>
      <c r="I1144" s="734"/>
      <c r="J1144" s="734"/>
      <c r="K1144" s="529"/>
      <c r="L1144" s="958"/>
      <c r="M1144" s="958"/>
      <c r="N1144" s="959">
        <v>0</v>
      </c>
      <c r="O1144" s="839"/>
      <c r="P1144" s="772"/>
      <c r="Q1144" s="812"/>
      <c r="R1144" s="953"/>
    </row>
    <row r="1145" spans="1:18" s="440" customFormat="1" ht="36" customHeight="1">
      <c r="A1145" s="424"/>
      <c r="B1145" s="706"/>
      <c r="C1145" s="450"/>
      <c r="D1145" s="438"/>
      <c r="E1145" s="957" t="s">
        <v>448</v>
      </c>
      <c r="F1145" s="958"/>
      <c r="G1145" s="958"/>
      <c r="H1145" s="958">
        <v>0</v>
      </c>
      <c r="I1145" s="734"/>
      <c r="J1145" s="734"/>
      <c r="K1145" s="529"/>
      <c r="L1145" s="958"/>
      <c r="M1145" s="958"/>
      <c r="N1145" s="959">
        <v>0</v>
      </c>
      <c r="O1145" s="839"/>
      <c r="P1145" s="772"/>
      <c r="Q1145" s="812"/>
      <c r="R1145" s="953"/>
    </row>
    <row r="1146" spans="1:18" s="440" customFormat="1" ht="36" customHeight="1">
      <c r="A1146" s="424"/>
      <c r="B1146" s="706"/>
      <c r="C1146" s="450"/>
      <c r="D1146" s="438"/>
      <c r="E1146" s="957" t="s">
        <v>449</v>
      </c>
      <c r="F1146" s="958"/>
      <c r="G1146" s="958"/>
      <c r="H1146" s="958">
        <v>0</v>
      </c>
      <c r="I1146" s="734"/>
      <c r="J1146" s="734"/>
      <c r="K1146" s="529"/>
      <c r="L1146" s="958"/>
      <c r="M1146" s="958"/>
      <c r="N1146" s="959">
        <v>0</v>
      </c>
      <c r="O1146" s="839"/>
      <c r="P1146" s="772"/>
      <c r="Q1146" s="812"/>
      <c r="R1146" s="953"/>
    </row>
    <row r="1147" spans="1:18" s="440" customFormat="1" ht="36" customHeight="1">
      <c r="A1147" s="424"/>
      <c r="B1147" s="706"/>
      <c r="C1147" s="450"/>
      <c r="D1147" s="438"/>
      <c r="E1147" s="957" t="s">
        <v>450</v>
      </c>
      <c r="F1147" s="958"/>
      <c r="G1147" s="958"/>
      <c r="H1147" s="958">
        <v>0</v>
      </c>
      <c r="I1147" s="734"/>
      <c r="J1147" s="734"/>
      <c r="K1147" s="529"/>
      <c r="L1147" s="958"/>
      <c r="M1147" s="958"/>
      <c r="N1147" s="959">
        <v>0</v>
      </c>
      <c r="O1147" s="839"/>
      <c r="P1147" s="772"/>
      <c r="Q1147" s="812"/>
      <c r="R1147" s="953"/>
    </row>
    <row r="1148" spans="1:18" s="440" customFormat="1" ht="36" customHeight="1">
      <c r="A1148" s="424"/>
      <c r="B1148" s="706"/>
      <c r="C1148" s="450"/>
      <c r="D1148" s="438"/>
      <c r="E1148" s="957" t="s">
        <v>451</v>
      </c>
      <c r="F1148" s="958"/>
      <c r="G1148" s="958"/>
      <c r="H1148" s="958">
        <v>0</v>
      </c>
      <c r="I1148" s="734"/>
      <c r="J1148" s="734"/>
      <c r="K1148" s="529"/>
      <c r="L1148" s="958"/>
      <c r="M1148" s="958"/>
      <c r="N1148" s="959">
        <v>0</v>
      </c>
      <c r="O1148" s="839"/>
      <c r="P1148" s="772"/>
      <c r="Q1148" s="812"/>
      <c r="R1148" s="953"/>
    </row>
    <row r="1149" spans="1:18" s="440" customFormat="1" ht="36" customHeight="1">
      <c r="A1149" s="424"/>
      <c r="B1149" s="706"/>
      <c r="C1149" s="450"/>
      <c r="D1149" s="438"/>
      <c r="E1149" s="960" t="s">
        <v>486</v>
      </c>
      <c r="F1149" s="958"/>
      <c r="G1149" s="958"/>
      <c r="H1149" s="958">
        <v>4300</v>
      </c>
      <c r="I1149" s="734"/>
      <c r="J1149" s="734"/>
      <c r="K1149" s="529"/>
      <c r="L1149" s="958"/>
      <c r="M1149" s="958"/>
      <c r="N1149" s="959">
        <v>0</v>
      </c>
      <c r="O1149" s="839"/>
      <c r="P1149" s="772"/>
      <c r="Q1149" s="812"/>
      <c r="R1149" s="953"/>
    </row>
    <row r="1150" spans="1:18" s="440" customFormat="1" ht="84" customHeight="1">
      <c r="A1150" s="424"/>
      <c r="B1150" s="706"/>
      <c r="C1150" s="450"/>
      <c r="D1150" s="438"/>
      <c r="E1150" s="957" t="s">
        <v>452</v>
      </c>
      <c r="F1150" s="958"/>
      <c r="G1150" s="958"/>
      <c r="H1150" s="958">
        <v>0</v>
      </c>
      <c r="I1150" s="734"/>
      <c r="J1150" s="734"/>
      <c r="K1150" s="529"/>
      <c r="L1150" s="958"/>
      <c r="M1150" s="958"/>
      <c r="N1150" s="959">
        <v>2195.1</v>
      </c>
      <c r="O1150" s="839"/>
      <c r="P1150" s="772"/>
      <c r="Q1150" s="812"/>
      <c r="R1150" s="953"/>
    </row>
    <row r="1151" spans="1:18" s="440" customFormat="1" ht="64.5" customHeight="1">
      <c r="A1151" s="424"/>
      <c r="B1151" s="706"/>
      <c r="C1151" s="450"/>
      <c r="D1151" s="438"/>
      <c r="E1151" s="957" t="s">
        <v>453</v>
      </c>
      <c r="F1151" s="958"/>
      <c r="G1151" s="958"/>
      <c r="H1151" s="958">
        <v>0</v>
      </c>
      <c r="I1151" s="734"/>
      <c r="J1151" s="734"/>
      <c r="K1151" s="529"/>
      <c r="L1151" s="958"/>
      <c r="M1151" s="958"/>
      <c r="N1151" s="959">
        <v>911.2</v>
      </c>
      <c r="O1151" s="839"/>
      <c r="P1151" s="772"/>
      <c r="Q1151" s="812"/>
      <c r="R1151" s="953"/>
    </row>
    <row r="1152" spans="1:18" s="440" customFormat="1" ht="36" customHeight="1">
      <c r="A1152" s="424"/>
      <c r="B1152" s="706"/>
      <c r="C1152" s="450"/>
      <c r="D1152" s="438"/>
      <c r="E1152" s="957" t="s">
        <v>454</v>
      </c>
      <c r="F1152" s="958"/>
      <c r="G1152" s="958"/>
      <c r="H1152" s="958">
        <v>0</v>
      </c>
      <c r="I1152" s="734"/>
      <c r="J1152" s="734"/>
      <c r="K1152" s="529"/>
      <c r="L1152" s="958"/>
      <c r="M1152" s="958"/>
      <c r="N1152" s="959">
        <v>0</v>
      </c>
      <c r="O1152" s="839"/>
      <c r="P1152" s="772"/>
      <c r="Q1152" s="812"/>
      <c r="R1152" s="953"/>
    </row>
    <row r="1153" spans="1:18" s="440" customFormat="1" ht="59.25" customHeight="1">
      <c r="A1153" s="424"/>
      <c r="B1153" s="706"/>
      <c r="C1153" s="450"/>
      <c r="D1153" s="438"/>
      <c r="E1153" s="957" t="s">
        <v>455</v>
      </c>
      <c r="F1153" s="958"/>
      <c r="G1153" s="958"/>
      <c r="H1153" s="958">
        <v>0</v>
      </c>
      <c r="I1153" s="734"/>
      <c r="J1153" s="734"/>
      <c r="K1153" s="529"/>
      <c r="L1153" s="958"/>
      <c r="M1153" s="958"/>
      <c r="N1153" s="959">
        <v>0</v>
      </c>
      <c r="O1153" s="839"/>
      <c r="P1153" s="772"/>
      <c r="Q1153" s="812"/>
      <c r="R1153" s="953"/>
    </row>
    <row r="1154" spans="1:18" s="440" customFormat="1" ht="36" customHeight="1">
      <c r="A1154" s="424"/>
      <c r="B1154" s="706"/>
      <c r="C1154" s="450"/>
      <c r="D1154" s="438"/>
      <c r="E1154" s="957" t="s">
        <v>456</v>
      </c>
      <c r="F1154" s="958"/>
      <c r="G1154" s="958"/>
      <c r="H1154" s="958">
        <v>0</v>
      </c>
      <c r="I1154" s="734"/>
      <c r="J1154" s="734"/>
      <c r="K1154" s="529"/>
      <c r="L1154" s="958"/>
      <c r="M1154" s="958"/>
      <c r="N1154" s="959">
        <v>0</v>
      </c>
      <c r="O1154" s="839"/>
      <c r="P1154" s="772"/>
      <c r="Q1154" s="812"/>
      <c r="R1154" s="953"/>
    </row>
    <row r="1155" spans="1:18" s="440" customFormat="1" ht="54.75" customHeight="1">
      <c r="A1155" s="424"/>
      <c r="B1155" s="706"/>
      <c r="C1155" s="450"/>
      <c r="D1155" s="438"/>
      <c r="E1155" s="957" t="s">
        <v>457</v>
      </c>
      <c r="F1155" s="958"/>
      <c r="G1155" s="958"/>
      <c r="H1155" s="958">
        <v>0</v>
      </c>
      <c r="I1155" s="734"/>
      <c r="J1155" s="734"/>
      <c r="K1155" s="529"/>
      <c r="L1155" s="958"/>
      <c r="M1155" s="958"/>
      <c r="N1155" s="959">
        <v>0</v>
      </c>
      <c r="O1155" s="839"/>
      <c r="P1155" s="772"/>
      <c r="Q1155" s="812"/>
      <c r="R1155" s="953"/>
    </row>
    <row r="1156" spans="1:18" s="440" customFormat="1" ht="36" customHeight="1">
      <c r="A1156" s="424"/>
      <c r="B1156" s="706"/>
      <c r="C1156" s="450"/>
      <c r="D1156" s="438"/>
      <c r="E1156" s="957" t="s">
        <v>458</v>
      </c>
      <c r="F1156" s="961"/>
      <c r="G1156" s="961"/>
      <c r="H1156" s="958">
        <v>32231.32</v>
      </c>
      <c r="I1156" s="734"/>
      <c r="J1156" s="734"/>
      <c r="K1156" s="529"/>
      <c r="L1156" s="961"/>
      <c r="M1156" s="961"/>
      <c r="N1156" s="959">
        <v>0</v>
      </c>
      <c r="O1156" s="839"/>
      <c r="P1156" s="772"/>
      <c r="Q1156" s="812"/>
      <c r="R1156" s="953"/>
    </row>
    <row r="1157" spans="1:18" s="440" customFormat="1" ht="36" customHeight="1">
      <c r="A1157" s="424"/>
      <c r="B1157" s="706"/>
      <c r="C1157" s="450"/>
      <c r="D1157" s="438"/>
      <c r="E1157" s="957" t="s">
        <v>459</v>
      </c>
      <c r="F1157" s="961"/>
      <c r="G1157" s="961"/>
      <c r="H1157" s="958">
        <v>0</v>
      </c>
      <c r="I1157" s="734"/>
      <c r="J1157" s="734"/>
      <c r="K1157" s="529"/>
      <c r="L1157" s="961"/>
      <c r="M1157" s="961"/>
      <c r="N1157" s="959">
        <v>0</v>
      </c>
      <c r="O1157" s="839"/>
      <c r="P1157" s="772"/>
      <c r="Q1157" s="812"/>
      <c r="R1157" s="953"/>
    </row>
    <row r="1158" spans="1:18" s="440" customFormat="1" ht="36" customHeight="1">
      <c r="A1158" s="424"/>
      <c r="B1158" s="706"/>
      <c r="C1158" s="450"/>
      <c r="D1158" s="438"/>
      <c r="E1158" s="957" t="s">
        <v>460</v>
      </c>
      <c r="F1158" s="961"/>
      <c r="G1158" s="961"/>
      <c r="H1158" s="958">
        <v>692</v>
      </c>
      <c r="I1158" s="734"/>
      <c r="J1158" s="734"/>
      <c r="K1158" s="529"/>
      <c r="L1158" s="961"/>
      <c r="M1158" s="961"/>
      <c r="N1158" s="959">
        <v>0</v>
      </c>
      <c r="O1158" s="839"/>
      <c r="P1158" s="772"/>
      <c r="Q1158" s="812"/>
      <c r="R1158" s="953"/>
    </row>
    <row r="1159" spans="1:18" s="440" customFormat="1" ht="36" customHeight="1">
      <c r="A1159" s="424"/>
      <c r="B1159" s="706"/>
      <c r="C1159" s="450"/>
      <c r="D1159" s="438"/>
      <c r="E1159" s="957" t="s">
        <v>461</v>
      </c>
      <c r="F1159" s="961"/>
      <c r="G1159" s="961"/>
      <c r="H1159" s="958">
        <v>35817</v>
      </c>
      <c r="I1159" s="734"/>
      <c r="J1159" s="734"/>
      <c r="K1159" s="529"/>
      <c r="L1159" s="961"/>
      <c r="M1159" s="961"/>
      <c r="N1159" s="959">
        <v>2820</v>
      </c>
      <c r="O1159" s="839"/>
      <c r="P1159" s="772"/>
      <c r="Q1159" s="812"/>
      <c r="R1159" s="953"/>
    </row>
    <row r="1160" spans="1:18" s="440" customFormat="1" ht="36" customHeight="1">
      <c r="A1160" s="424"/>
      <c r="B1160" s="706"/>
      <c r="C1160" s="450"/>
      <c r="D1160" s="438"/>
      <c r="E1160" s="957" t="s">
        <v>462</v>
      </c>
      <c r="F1160" s="961"/>
      <c r="G1160" s="961"/>
      <c r="H1160" s="958">
        <v>0</v>
      </c>
      <c r="I1160" s="734"/>
      <c r="J1160" s="734"/>
      <c r="K1160" s="529"/>
      <c r="L1160" s="961"/>
      <c r="M1160" s="961"/>
      <c r="N1160" s="959">
        <v>0</v>
      </c>
      <c r="O1160" s="839"/>
      <c r="P1160" s="772"/>
      <c r="Q1160" s="812"/>
      <c r="R1160" s="953"/>
    </row>
    <row r="1161" spans="1:18" s="440" customFormat="1" ht="54.75" customHeight="1">
      <c r="A1161" s="424"/>
      <c r="B1161" s="706"/>
      <c r="C1161" s="450"/>
      <c r="D1161" s="438"/>
      <c r="E1161" s="957" t="s">
        <v>463</v>
      </c>
      <c r="F1161" s="961"/>
      <c r="G1161" s="961"/>
      <c r="H1161" s="958">
        <v>0</v>
      </c>
      <c r="I1161" s="734"/>
      <c r="J1161" s="734"/>
      <c r="K1161" s="529"/>
      <c r="L1161" s="961"/>
      <c r="M1161" s="961"/>
      <c r="N1161" s="959">
        <v>0</v>
      </c>
      <c r="O1161" s="839"/>
      <c r="P1161" s="772"/>
      <c r="Q1161" s="812"/>
      <c r="R1161" s="953"/>
    </row>
    <row r="1162" spans="1:18" s="440" customFormat="1" ht="36" customHeight="1">
      <c r="A1162" s="424"/>
      <c r="B1162" s="706"/>
      <c r="C1162" s="450"/>
      <c r="D1162" s="438"/>
      <c r="E1162" s="957" t="s">
        <v>464</v>
      </c>
      <c r="F1162" s="961"/>
      <c r="G1162" s="961"/>
      <c r="H1162" s="958">
        <v>0</v>
      </c>
      <c r="I1162" s="734"/>
      <c r="J1162" s="734"/>
      <c r="K1162" s="529"/>
      <c r="L1162" s="961"/>
      <c r="M1162" s="961"/>
      <c r="N1162" s="959">
        <v>0</v>
      </c>
      <c r="O1162" s="839"/>
      <c r="P1162" s="772"/>
      <c r="Q1162" s="812"/>
      <c r="R1162" s="953"/>
    </row>
    <row r="1163" spans="1:18" s="440" customFormat="1" ht="36" customHeight="1">
      <c r="A1163" s="424"/>
      <c r="B1163" s="706"/>
      <c r="C1163" s="450"/>
      <c r="D1163" s="438"/>
      <c r="E1163" s="957" t="s">
        <v>465</v>
      </c>
      <c r="F1163" s="961"/>
      <c r="G1163" s="961"/>
      <c r="H1163" s="958">
        <v>0</v>
      </c>
      <c r="I1163" s="734"/>
      <c r="J1163" s="734"/>
      <c r="K1163" s="529"/>
      <c r="L1163" s="961"/>
      <c r="M1163" s="961"/>
      <c r="N1163" s="959">
        <v>0</v>
      </c>
      <c r="O1163" s="839"/>
      <c r="P1163" s="772"/>
      <c r="Q1163" s="812"/>
      <c r="R1163" s="953"/>
    </row>
    <row r="1164" spans="1:18" s="440" customFormat="1" ht="36" customHeight="1">
      <c r="A1164" s="424"/>
      <c r="B1164" s="706"/>
      <c r="C1164" s="450"/>
      <c r="D1164" s="438"/>
      <c r="E1164" s="957" t="s">
        <v>466</v>
      </c>
      <c r="F1164" s="961"/>
      <c r="G1164" s="961"/>
      <c r="H1164" s="958">
        <v>1674.81</v>
      </c>
      <c r="I1164" s="734"/>
      <c r="J1164" s="734"/>
      <c r="K1164" s="529"/>
      <c r="L1164" s="961"/>
      <c r="M1164" s="961"/>
      <c r="N1164" s="959">
        <v>270</v>
      </c>
      <c r="O1164" s="839"/>
      <c r="P1164" s="772"/>
      <c r="Q1164" s="812"/>
      <c r="R1164" s="953"/>
    </row>
    <row r="1165" spans="1:18" s="440" customFormat="1" ht="57" customHeight="1">
      <c r="A1165" s="424"/>
      <c r="B1165" s="706"/>
      <c r="C1165" s="489"/>
      <c r="D1165" s="438"/>
      <c r="E1165" s="945" t="s">
        <v>467</v>
      </c>
      <c r="F1165" s="949">
        <v>117300</v>
      </c>
      <c r="G1165" s="949">
        <v>111778</v>
      </c>
      <c r="H1165" s="949">
        <v>74715.13</v>
      </c>
      <c r="I1165" s="734"/>
      <c r="J1165" s="734"/>
      <c r="K1165" s="529"/>
      <c r="L1165" s="949">
        <v>0</v>
      </c>
      <c r="M1165" s="949">
        <v>0</v>
      </c>
      <c r="N1165" s="956">
        <v>0</v>
      </c>
      <c r="O1165" s="890">
        <v>0</v>
      </c>
      <c r="P1165" s="772" t="s">
        <v>395</v>
      </c>
      <c r="Q1165" s="812"/>
      <c r="R1165" s="953"/>
    </row>
    <row r="1166" spans="1:18" s="441" customFormat="1" ht="39.9" customHeight="1">
      <c r="A1166" s="487"/>
      <c r="B1166" s="420"/>
      <c r="C1166" s="560">
        <v>1</v>
      </c>
      <c r="D1166" s="576"/>
      <c r="E1166" s="178" t="s">
        <v>508</v>
      </c>
      <c r="F1166" s="1168"/>
      <c r="G1166" s="599"/>
      <c r="H1166" s="599"/>
      <c r="I1166" s="599"/>
      <c r="J1166" s="599"/>
      <c r="K1166" s="599">
        <v>11640</v>
      </c>
      <c r="L1166" s="599">
        <f>L1167+L1186+L1208</f>
        <v>0</v>
      </c>
      <c r="M1166" s="599">
        <f t="shared" ref="M1166" si="101">M1167+M1186+M1208</f>
        <v>52515</v>
      </c>
      <c r="N1166" s="599">
        <f t="shared" ref="N1166" si="102">N1167+N1186+N1208</f>
        <v>19010.149999999998</v>
      </c>
      <c r="O1166" s="881">
        <f>N1166/M1166</f>
        <v>0.36199466819004089</v>
      </c>
      <c r="P1166" s="787" t="s">
        <v>395</v>
      </c>
      <c r="Q1166" s="670"/>
    </row>
    <row r="1167" spans="1:18" s="431" customFormat="1" ht="50.25" customHeight="1">
      <c r="A1167" s="987"/>
      <c r="B1167" s="944"/>
      <c r="C1167" s="458"/>
      <c r="D1167" s="444"/>
      <c r="E1167" s="945" t="s">
        <v>412</v>
      </c>
      <c r="F1167" s="976"/>
      <c r="G1167" s="946"/>
      <c r="H1167" s="946"/>
      <c r="I1167" s="946"/>
      <c r="J1167" s="947"/>
      <c r="K1167" s="948"/>
      <c r="L1167" s="949">
        <v>0</v>
      </c>
      <c r="M1167" s="949">
        <v>47348</v>
      </c>
      <c r="N1167" s="977">
        <f>SUM(N1169:N1185)</f>
        <v>15791.55</v>
      </c>
      <c r="O1167" s="978">
        <v>0</v>
      </c>
      <c r="P1167" s="780" t="s">
        <v>395</v>
      </c>
      <c r="Q1167" s="908"/>
      <c r="R1167" s="951"/>
    </row>
    <row r="1168" spans="1:18" s="440" customFormat="1" ht="34.5" customHeight="1">
      <c r="A1168" s="984"/>
      <c r="B1168" s="972"/>
      <c r="C1168" s="450"/>
      <c r="D1168" s="438"/>
      <c r="E1168" s="952" t="s">
        <v>13</v>
      </c>
      <c r="F1168" s="985"/>
      <c r="G1168" s="973"/>
      <c r="H1168" s="973"/>
      <c r="I1168" s="973"/>
      <c r="J1168" s="973"/>
      <c r="K1168" s="383"/>
      <c r="L1168" s="980"/>
      <c r="M1168" s="980"/>
      <c r="N1168" s="980"/>
      <c r="O1168" s="981"/>
      <c r="P1168" s="772"/>
      <c r="Q1168" s="812"/>
      <c r="R1168" s="953"/>
    </row>
    <row r="1169" spans="1:18" s="440" customFormat="1" ht="36" customHeight="1">
      <c r="A1169" s="984"/>
      <c r="B1169" s="972"/>
      <c r="C1169" s="450"/>
      <c r="D1169" s="425"/>
      <c r="E1169" s="954" t="s">
        <v>720</v>
      </c>
      <c r="F1169" s="985"/>
      <c r="G1169" s="973"/>
      <c r="H1169" s="973"/>
      <c r="I1169" s="973"/>
      <c r="J1169" s="973"/>
      <c r="K1169" s="383"/>
      <c r="L1169" s="955"/>
      <c r="M1169" s="955"/>
      <c r="N1169" s="983">
        <v>13727.82</v>
      </c>
      <c r="O1169" s="981"/>
      <c r="P1169" s="772"/>
      <c r="Q1169" s="812"/>
      <c r="R1169" s="953"/>
    </row>
    <row r="1170" spans="1:18" s="440" customFormat="1" ht="57" customHeight="1">
      <c r="A1170" s="984"/>
      <c r="B1170" s="972"/>
      <c r="C1170" s="450"/>
      <c r="D1170" s="438"/>
      <c r="E1170" s="954" t="s">
        <v>478</v>
      </c>
      <c r="F1170" s="985"/>
      <c r="G1170" s="973"/>
      <c r="H1170" s="973"/>
      <c r="I1170" s="973"/>
      <c r="J1170" s="973"/>
      <c r="K1170" s="383"/>
      <c r="L1170" s="955"/>
      <c r="M1170" s="955"/>
      <c r="N1170" s="983">
        <v>0</v>
      </c>
      <c r="O1170" s="981"/>
      <c r="P1170" s="772"/>
      <c r="Q1170" s="812"/>
      <c r="R1170" s="953"/>
    </row>
    <row r="1171" spans="1:18" s="440" customFormat="1" ht="33.75" customHeight="1">
      <c r="A1171" s="984"/>
      <c r="B1171" s="972"/>
      <c r="C1171" s="450"/>
      <c r="D1171" s="438"/>
      <c r="E1171" s="954" t="s">
        <v>479</v>
      </c>
      <c r="F1171" s="985"/>
      <c r="G1171" s="973"/>
      <c r="H1171" s="973"/>
      <c r="I1171" s="973"/>
      <c r="J1171" s="973"/>
      <c r="K1171" s="383"/>
      <c r="L1171" s="955"/>
      <c r="M1171" s="955"/>
      <c r="N1171" s="983">
        <v>0</v>
      </c>
      <c r="O1171" s="981"/>
      <c r="P1171" s="772"/>
      <c r="Q1171" s="812"/>
      <c r="R1171" s="953"/>
    </row>
    <row r="1172" spans="1:18" s="440" customFormat="1" ht="36" customHeight="1">
      <c r="A1172" s="984"/>
      <c r="B1172" s="972"/>
      <c r="C1172" s="450"/>
      <c r="D1172" s="438"/>
      <c r="E1172" s="954" t="s">
        <v>480</v>
      </c>
      <c r="F1172" s="985"/>
      <c r="G1172" s="973"/>
      <c r="H1172" s="973"/>
      <c r="I1172" s="973"/>
      <c r="J1172" s="973"/>
      <c r="K1172" s="383"/>
      <c r="L1172" s="955"/>
      <c r="M1172" s="955"/>
      <c r="N1172" s="983">
        <v>0</v>
      </c>
      <c r="O1172" s="981"/>
      <c r="P1172" s="772"/>
      <c r="Q1172" s="812"/>
      <c r="R1172" s="953"/>
    </row>
    <row r="1173" spans="1:18" s="440" customFormat="1" ht="36" customHeight="1">
      <c r="A1173" s="984"/>
      <c r="B1173" s="972"/>
      <c r="C1173" s="450"/>
      <c r="D1173" s="438"/>
      <c r="E1173" s="954" t="s">
        <v>534</v>
      </c>
      <c r="F1173" s="985"/>
      <c r="G1173" s="973"/>
      <c r="H1173" s="973"/>
      <c r="I1173" s="973"/>
      <c r="J1173" s="973"/>
      <c r="K1173" s="383"/>
      <c r="L1173" s="955"/>
      <c r="M1173" s="955"/>
      <c r="N1173" s="983">
        <v>0</v>
      </c>
      <c r="O1173" s="981"/>
      <c r="P1173" s="772"/>
      <c r="Q1173" s="812"/>
      <c r="R1173" s="953"/>
    </row>
    <row r="1174" spans="1:18" s="440" customFormat="1" ht="36" customHeight="1">
      <c r="A1174" s="984"/>
      <c r="B1174" s="972"/>
      <c r="C1174" s="450"/>
      <c r="D1174" s="438"/>
      <c r="E1174" s="954" t="s">
        <v>437</v>
      </c>
      <c r="F1174" s="985"/>
      <c r="G1174" s="973"/>
      <c r="H1174" s="973"/>
      <c r="I1174" s="973"/>
      <c r="J1174" s="973"/>
      <c r="K1174" s="383"/>
      <c r="L1174" s="955"/>
      <c r="M1174" s="955"/>
      <c r="N1174" s="983">
        <v>0</v>
      </c>
      <c r="O1174" s="981"/>
      <c r="P1174" s="772"/>
      <c r="Q1174" s="812"/>
      <c r="R1174" s="953"/>
    </row>
    <row r="1175" spans="1:18" s="440" customFormat="1" ht="36" customHeight="1">
      <c r="A1175" s="984"/>
      <c r="B1175" s="972"/>
      <c r="C1175" s="450"/>
      <c r="D1175" s="438"/>
      <c r="E1175" s="954" t="s">
        <v>438</v>
      </c>
      <c r="F1175" s="985"/>
      <c r="G1175" s="973"/>
      <c r="H1175" s="973"/>
      <c r="I1175" s="973"/>
      <c r="J1175" s="973"/>
      <c r="K1175" s="383"/>
      <c r="L1175" s="955"/>
      <c r="M1175" s="955"/>
      <c r="N1175" s="983">
        <v>0</v>
      </c>
      <c r="O1175" s="981"/>
      <c r="P1175" s="772"/>
      <c r="Q1175" s="812"/>
      <c r="R1175" s="953"/>
    </row>
    <row r="1176" spans="1:18" s="440" customFormat="1" ht="36" customHeight="1">
      <c r="A1176" s="984"/>
      <c r="B1176" s="972"/>
      <c r="C1176" s="450"/>
      <c r="D1176" s="438"/>
      <c r="E1176" s="954" t="s">
        <v>481</v>
      </c>
      <c r="F1176" s="985"/>
      <c r="G1176" s="973"/>
      <c r="H1176" s="973"/>
      <c r="I1176" s="973"/>
      <c r="J1176" s="973"/>
      <c r="K1176" s="383"/>
      <c r="L1176" s="955"/>
      <c r="M1176" s="955"/>
      <c r="N1176" s="983">
        <v>0</v>
      </c>
      <c r="O1176" s="981"/>
      <c r="P1176" s="772"/>
      <c r="Q1176" s="812"/>
      <c r="R1176" s="953"/>
    </row>
    <row r="1177" spans="1:18" s="440" customFormat="1" ht="36" customHeight="1">
      <c r="A1177" s="984"/>
      <c r="B1177" s="972"/>
      <c r="C1177" s="450"/>
      <c r="D1177" s="438"/>
      <c r="E1177" s="954" t="s">
        <v>439</v>
      </c>
      <c r="F1177" s="985"/>
      <c r="G1177" s="973"/>
      <c r="H1177" s="973"/>
      <c r="I1177" s="973"/>
      <c r="J1177" s="973"/>
      <c r="K1177" s="383"/>
      <c r="L1177" s="955"/>
      <c r="M1177" s="955"/>
      <c r="N1177" s="983">
        <v>0</v>
      </c>
      <c r="O1177" s="981"/>
      <c r="P1177" s="772"/>
      <c r="Q1177" s="812"/>
      <c r="R1177" s="953"/>
    </row>
    <row r="1178" spans="1:18" s="440" customFormat="1" ht="36" customHeight="1">
      <c r="A1178" s="984"/>
      <c r="B1178" s="972"/>
      <c r="C1178" s="450"/>
      <c r="D1178" s="438"/>
      <c r="E1178" s="954" t="s">
        <v>440</v>
      </c>
      <c r="F1178" s="985"/>
      <c r="G1178" s="973"/>
      <c r="H1178" s="973"/>
      <c r="I1178" s="973"/>
      <c r="J1178" s="973"/>
      <c r="K1178" s="383"/>
      <c r="L1178" s="955"/>
      <c r="M1178" s="955"/>
      <c r="N1178" s="983">
        <v>0</v>
      </c>
      <c r="O1178" s="981"/>
      <c r="P1178" s="772"/>
      <c r="Q1178" s="812"/>
      <c r="R1178" s="953"/>
    </row>
    <row r="1179" spans="1:18" s="440" customFormat="1" ht="36" customHeight="1">
      <c r="A1179" s="984"/>
      <c r="B1179" s="972"/>
      <c r="C1179" s="450"/>
      <c r="D1179" s="438"/>
      <c r="E1179" s="954" t="s">
        <v>441</v>
      </c>
      <c r="F1179" s="985"/>
      <c r="G1179" s="973"/>
      <c r="H1179" s="973"/>
      <c r="I1179" s="973"/>
      <c r="J1179" s="973"/>
      <c r="K1179" s="383"/>
      <c r="L1179" s="955"/>
      <c r="M1179" s="955"/>
      <c r="N1179" s="983">
        <v>0</v>
      </c>
      <c r="O1179" s="981"/>
      <c r="P1179" s="772"/>
      <c r="Q1179" s="812"/>
      <c r="R1179" s="953"/>
    </row>
    <row r="1180" spans="1:18" s="440" customFormat="1" ht="43.5" customHeight="1">
      <c r="A1180" s="984"/>
      <c r="B1180" s="972"/>
      <c r="C1180" s="450"/>
      <c r="D1180" s="438"/>
      <c r="E1180" s="954" t="s">
        <v>555</v>
      </c>
      <c r="F1180" s="985"/>
      <c r="G1180" s="973"/>
      <c r="H1180" s="973"/>
      <c r="I1180" s="973"/>
      <c r="J1180" s="973"/>
      <c r="K1180" s="383"/>
      <c r="L1180" s="955"/>
      <c r="M1180" s="955"/>
      <c r="N1180" s="983">
        <v>0</v>
      </c>
      <c r="O1180" s="981"/>
      <c r="P1180" s="772"/>
      <c r="Q1180" s="812"/>
      <c r="R1180" s="953"/>
    </row>
    <row r="1181" spans="1:18" s="440" customFormat="1" ht="36" customHeight="1">
      <c r="A1181" s="984"/>
      <c r="B1181" s="972"/>
      <c r="C1181" s="450"/>
      <c r="D1181" s="438"/>
      <c r="E1181" s="954" t="s">
        <v>442</v>
      </c>
      <c r="F1181" s="985"/>
      <c r="G1181" s="973"/>
      <c r="H1181" s="973"/>
      <c r="I1181" s="973"/>
      <c r="J1181" s="973"/>
      <c r="K1181" s="383"/>
      <c r="L1181" s="955"/>
      <c r="M1181" s="955"/>
      <c r="N1181" s="983">
        <v>0</v>
      </c>
      <c r="O1181" s="981"/>
      <c r="P1181" s="772"/>
      <c r="Q1181" s="812"/>
      <c r="R1181" s="953"/>
    </row>
    <row r="1182" spans="1:18" s="440" customFormat="1" ht="36" customHeight="1">
      <c r="A1182" s="984"/>
      <c r="B1182" s="972"/>
      <c r="C1182" s="450"/>
      <c r="D1182" s="438"/>
      <c r="E1182" s="954" t="s">
        <v>443</v>
      </c>
      <c r="F1182" s="985"/>
      <c r="G1182" s="973"/>
      <c r="H1182" s="973"/>
      <c r="I1182" s="973"/>
      <c r="J1182" s="973"/>
      <c r="K1182" s="383"/>
      <c r="L1182" s="955"/>
      <c r="M1182" s="955"/>
      <c r="N1182" s="983">
        <v>0</v>
      </c>
      <c r="O1182" s="981"/>
      <c r="P1182" s="772"/>
      <c r="Q1182" s="812"/>
      <c r="R1182" s="953"/>
    </row>
    <row r="1183" spans="1:18" s="440" customFormat="1" ht="36" customHeight="1">
      <c r="A1183" s="984"/>
      <c r="B1183" s="972"/>
      <c r="C1183" s="450"/>
      <c r="D1183" s="438"/>
      <c r="E1183" s="954" t="s">
        <v>482</v>
      </c>
      <c r="F1183" s="985"/>
      <c r="G1183" s="973"/>
      <c r="H1183" s="973"/>
      <c r="I1183" s="973"/>
      <c r="J1183" s="973"/>
      <c r="K1183" s="383"/>
      <c r="L1183" s="955"/>
      <c r="M1183" s="955"/>
      <c r="N1183" s="983">
        <v>0</v>
      </c>
      <c r="O1183" s="981"/>
      <c r="P1183" s="772"/>
      <c r="Q1183" s="812"/>
      <c r="R1183" s="953"/>
    </row>
    <row r="1184" spans="1:18" s="440" customFormat="1" ht="36" customHeight="1">
      <c r="A1184" s="984"/>
      <c r="B1184" s="972"/>
      <c r="C1184" s="450"/>
      <c r="D1184" s="438"/>
      <c r="E1184" s="954" t="s">
        <v>445</v>
      </c>
      <c r="F1184" s="985"/>
      <c r="G1184" s="973"/>
      <c r="H1184" s="973"/>
      <c r="I1184" s="973"/>
      <c r="J1184" s="973"/>
      <c r="K1184" s="383"/>
      <c r="L1184" s="955"/>
      <c r="M1184" s="955"/>
      <c r="N1184" s="983">
        <v>0</v>
      </c>
      <c r="O1184" s="981"/>
      <c r="P1184" s="772"/>
      <c r="Q1184" s="812"/>
      <c r="R1184" s="953"/>
    </row>
    <row r="1185" spans="1:18" s="440" customFormat="1" ht="36" customHeight="1">
      <c r="A1185" s="984"/>
      <c r="B1185" s="972"/>
      <c r="C1185" s="450"/>
      <c r="D1185" s="438"/>
      <c r="E1185" s="954" t="s">
        <v>446</v>
      </c>
      <c r="F1185" s="985"/>
      <c r="G1185" s="973"/>
      <c r="H1185" s="973"/>
      <c r="I1185" s="973"/>
      <c r="J1185" s="973"/>
      <c r="K1185" s="383"/>
      <c r="L1185" s="955"/>
      <c r="M1185" s="955"/>
      <c r="N1185" s="983">
        <v>2063.73</v>
      </c>
      <c r="O1185" s="981"/>
      <c r="P1185" s="772"/>
      <c r="Q1185" s="812"/>
      <c r="R1185" s="953"/>
    </row>
    <row r="1186" spans="1:18" s="440" customFormat="1" ht="58.5" customHeight="1">
      <c r="A1186" s="984"/>
      <c r="B1186" s="972"/>
      <c r="C1186" s="986"/>
      <c r="D1186" s="438"/>
      <c r="E1186" s="945" t="s">
        <v>418</v>
      </c>
      <c r="F1186" s="949">
        <v>117300</v>
      </c>
      <c r="G1186" s="949">
        <v>111778</v>
      </c>
      <c r="H1186" s="949">
        <v>74715.13</v>
      </c>
      <c r="I1186" s="973"/>
      <c r="J1186" s="973"/>
      <c r="K1186" s="529"/>
      <c r="L1186" s="949">
        <v>0</v>
      </c>
      <c r="M1186" s="949">
        <v>5167</v>
      </c>
      <c r="N1186" s="977">
        <f>SUM(N1187:N1207)</f>
        <v>3218.6</v>
      </c>
      <c r="O1186" s="978">
        <f>N1186/M1186</f>
        <v>0.6229146506676988</v>
      </c>
      <c r="P1186" s="772" t="s">
        <v>395</v>
      </c>
      <c r="Q1186" s="812"/>
      <c r="R1186" s="953"/>
    </row>
    <row r="1187" spans="1:18" s="440" customFormat="1" ht="83.25" customHeight="1">
      <c r="A1187" s="984"/>
      <c r="B1187" s="972"/>
      <c r="C1187" s="986"/>
      <c r="D1187" s="438"/>
      <c r="E1187" s="957" t="s">
        <v>447</v>
      </c>
      <c r="F1187" s="958"/>
      <c r="G1187" s="958"/>
      <c r="H1187" s="958">
        <v>0</v>
      </c>
      <c r="I1187" s="973"/>
      <c r="J1187" s="973"/>
      <c r="K1187" s="529"/>
      <c r="L1187" s="958"/>
      <c r="M1187" s="958"/>
      <c r="N1187" s="983">
        <v>0</v>
      </c>
      <c r="O1187" s="981"/>
      <c r="P1187" s="772"/>
      <c r="Q1187" s="812"/>
      <c r="R1187" s="953"/>
    </row>
    <row r="1188" spans="1:18" s="440" customFormat="1" ht="36" customHeight="1">
      <c r="A1188" s="984"/>
      <c r="B1188" s="972"/>
      <c r="C1188" s="986"/>
      <c r="D1188" s="438"/>
      <c r="E1188" s="957" t="s">
        <v>448</v>
      </c>
      <c r="F1188" s="958"/>
      <c r="G1188" s="958"/>
      <c r="H1188" s="958">
        <v>0</v>
      </c>
      <c r="I1188" s="973"/>
      <c r="J1188" s="973"/>
      <c r="K1188" s="529"/>
      <c r="L1188" s="958"/>
      <c r="M1188" s="958"/>
      <c r="N1188" s="983">
        <v>0</v>
      </c>
      <c r="O1188" s="981"/>
      <c r="P1188" s="772"/>
      <c r="Q1188" s="812"/>
      <c r="R1188" s="953"/>
    </row>
    <row r="1189" spans="1:18" s="440" customFormat="1" ht="36" customHeight="1">
      <c r="A1189" s="984"/>
      <c r="B1189" s="972"/>
      <c r="C1189" s="986"/>
      <c r="D1189" s="438"/>
      <c r="E1189" s="957" t="s">
        <v>449</v>
      </c>
      <c r="F1189" s="958"/>
      <c r="G1189" s="958"/>
      <c r="H1189" s="958">
        <v>0</v>
      </c>
      <c r="I1189" s="973"/>
      <c r="J1189" s="973"/>
      <c r="K1189" s="529"/>
      <c r="L1189" s="958"/>
      <c r="M1189" s="958"/>
      <c r="N1189" s="983">
        <v>0</v>
      </c>
      <c r="O1189" s="981"/>
      <c r="P1189" s="772"/>
      <c r="Q1189" s="812"/>
      <c r="R1189" s="953"/>
    </row>
    <row r="1190" spans="1:18" s="440" customFormat="1" ht="36" customHeight="1">
      <c r="A1190" s="984"/>
      <c r="B1190" s="972"/>
      <c r="C1190" s="986"/>
      <c r="D1190" s="438"/>
      <c r="E1190" s="957" t="s">
        <v>450</v>
      </c>
      <c r="F1190" s="958"/>
      <c r="G1190" s="958"/>
      <c r="H1190" s="958">
        <v>0</v>
      </c>
      <c r="I1190" s="973"/>
      <c r="J1190" s="973"/>
      <c r="K1190" s="529"/>
      <c r="L1190" s="958"/>
      <c r="M1190" s="958"/>
      <c r="N1190" s="983">
        <v>0</v>
      </c>
      <c r="O1190" s="981"/>
      <c r="P1190" s="772"/>
      <c r="Q1190" s="812"/>
      <c r="R1190" s="953"/>
    </row>
    <row r="1191" spans="1:18" s="440" customFormat="1" ht="36" customHeight="1">
      <c r="A1191" s="984"/>
      <c r="B1191" s="972"/>
      <c r="C1191" s="986"/>
      <c r="D1191" s="438"/>
      <c r="E1191" s="957" t="s">
        <v>451</v>
      </c>
      <c r="F1191" s="958"/>
      <c r="G1191" s="958"/>
      <c r="H1191" s="958">
        <v>0</v>
      </c>
      <c r="I1191" s="973"/>
      <c r="J1191" s="973"/>
      <c r="K1191" s="529"/>
      <c r="L1191" s="958"/>
      <c r="M1191" s="958"/>
      <c r="N1191" s="983">
        <v>0</v>
      </c>
      <c r="O1191" s="981"/>
      <c r="P1191" s="772"/>
      <c r="Q1191" s="812"/>
      <c r="R1191" s="953"/>
    </row>
    <row r="1192" spans="1:18" s="440" customFormat="1" ht="47.25" customHeight="1">
      <c r="A1192" s="984"/>
      <c r="B1192" s="972"/>
      <c r="C1192" s="986"/>
      <c r="D1192" s="438"/>
      <c r="E1192" s="960" t="s">
        <v>486</v>
      </c>
      <c r="F1192" s="958"/>
      <c r="G1192" s="958"/>
      <c r="H1192" s="958">
        <v>4300</v>
      </c>
      <c r="I1192" s="973"/>
      <c r="J1192" s="973"/>
      <c r="K1192" s="529"/>
      <c r="L1192" s="958"/>
      <c r="M1192" s="958"/>
      <c r="N1192" s="983">
        <v>0</v>
      </c>
      <c r="O1192" s="981"/>
      <c r="P1192" s="772"/>
      <c r="Q1192" s="812"/>
      <c r="R1192" s="953"/>
    </row>
    <row r="1193" spans="1:18" s="440" customFormat="1" ht="84" customHeight="1">
      <c r="A1193" s="984"/>
      <c r="B1193" s="972"/>
      <c r="C1193" s="986"/>
      <c r="D1193" s="438"/>
      <c r="E1193" s="957" t="s">
        <v>452</v>
      </c>
      <c r="F1193" s="958"/>
      <c r="G1193" s="958"/>
      <c r="H1193" s="958">
        <v>0</v>
      </c>
      <c r="I1193" s="973"/>
      <c r="J1193" s="973"/>
      <c r="K1193" s="529"/>
      <c r="L1193" s="958"/>
      <c r="M1193" s="958"/>
      <c r="N1193" s="983">
        <v>1019.8</v>
      </c>
      <c r="O1193" s="981"/>
      <c r="P1193" s="772"/>
      <c r="Q1193" s="812"/>
      <c r="R1193" s="953"/>
    </row>
    <row r="1194" spans="1:18" s="440" customFormat="1" ht="54.75" customHeight="1">
      <c r="A1194" s="984"/>
      <c r="B1194" s="972"/>
      <c r="C1194" s="986"/>
      <c r="D1194" s="438"/>
      <c r="E1194" s="957" t="s">
        <v>453</v>
      </c>
      <c r="F1194" s="958"/>
      <c r="G1194" s="958"/>
      <c r="H1194" s="958">
        <v>0</v>
      </c>
      <c r="I1194" s="973"/>
      <c r="J1194" s="973"/>
      <c r="K1194" s="529"/>
      <c r="L1194" s="958"/>
      <c r="M1194" s="958"/>
      <c r="N1194" s="983">
        <v>398.8</v>
      </c>
      <c r="O1194" s="981"/>
      <c r="P1194" s="772"/>
      <c r="Q1194" s="812"/>
      <c r="R1194" s="953"/>
    </row>
    <row r="1195" spans="1:18" s="440" customFormat="1" ht="36" customHeight="1">
      <c r="A1195" s="984"/>
      <c r="B1195" s="972"/>
      <c r="C1195" s="986"/>
      <c r="D1195" s="438"/>
      <c r="E1195" s="957" t="s">
        <v>454</v>
      </c>
      <c r="F1195" s="958"/>
      <c r="G1195" s="958"/>
      <c r="H1195" s="958">
        <v>0</v>
      </c>
      <c r="I1195" s="973"/>
      <c r="J1195" s="973"/>
      <c r="K1195" s="529"/>
      <c r="L1195" s="958"/>
      <c r="M1195" s="958"/>
      <c r="N1195" s="983">
        <v>0</v>
      </c>
      <c r="O1195" s="981"/>
      <c r="P1195" s="772"/>
      <c r="Q1195" s="812"/>
      <c r="R1195" s="953"/>
    </row>
    <row r="1196" spans="1:18" s="440" customFormat="1" ht="54.75" customHeight="1">
      <c r="A1196" s="984"/>
      <c r="B1196" s="972"/>
      <c r="C1196" s="986"/>
      <c r="D1196" s="438"/>
      <c r="E1196" s="957" t="s">
        <v>455</v>
      </c>
      <c r="F1196" s="958"/>
      <c r="G1196" s="958"/>
      <c r="H1196" s="958">
        <v>0</v>
      </c>
      <c r="I1196" s="973"/>
      <c r="J1196" s="973"/>
      <c r="K1196" s="529"/>
      <c r="L1196" s="958"/>
      <c r="M1196" s="958"/>
      <c r="N1196" s="983">
        <v>0</v>
      </c>
      <c r="O1196" s="981"/>
      <c r="P1196" s="772"/>
      <c r="Q1196" s="812"/>
      <c r="R1196" s="953"/>
    </row>
    <row r="1197" spans="1:18" s="440" customFormat="1" ht="36" customHeight="1">
      <c r="A1197" s="984"/>
      <c r="B1197" s="972"/>
      <c r="C1197" s="986"/>
      <c r="D1197" s="438"/>
      <c r="E1197" s="957" t="s">
        <v>456</v>
      </c>
      <c r="F1197" s="958"/>
      <c r="G1197" s="958"/>
      <c r="H1197" s="958">
        <v>0</v>
      </c>
      <c r="I1197" s="973"/>
      <c r="J1197" s="973"/>
      <c r="K1197" s="529"/>
      <c r="L1197" s="958"/>
      <c r="M1197" s="958"/>
      <c r="N1197" s="983">
        <v>0</v>
      </c>
      <c r="O1197" s="981"/>
      <c r="P1197" s="772"/>
      <c r="Q1197" s="812"/>
      <c r="R1197" s="953"/>
    </row>
    <row r="1198" spans="1:18" s="440" customFormat="1" ht="54.75" customHeight="1">
      <c r="A1198" s="984"/>
      <c r="B1198" s="972"/>
      <c r="C1198" s="986"/>
      <c r="D1198" s="438"/>
      <c r="E1198" s="957" t="s">
        <v>457</v>
      </c>
      <c r="F1198" s="958"/>
      <c r="G1198" s="958"/>
      <c r="H1198" s="958">
        <v>0</v>
      </c>
      <c r="I1198" s="973"/>
      <c r="J1198" s="973"/>
      <c r="K1198" s="529"/>
      <c r="L1198" s="958"/>
      <c r="M1198" s="958"/>
      <c r="N1198" s="983">
        <v>0</v>
      </c>
      <c r="O1198" s="981"/>
      <c r="P1198" s="772"/>
      <c r="Q1198" s="812"/>
      <c r="R1198" s="953"/>
    </row>
    <row r="1199" spans="1:18" s="440" customFormat="1" ht="36" customHeight="1">
      <c r="A1199" s="984"/>
      <c r="B1199" s="972"/>
      <c r="C1199" s="986"/>
      <c r="D1199" s="438"/>
      <c r="E1199" s="957" t="s">
        <v>458</v>
      </c>
      <c r="F1199" s="961"/>
      <c r="G1199" s="961"/>
      <c r="H1199" s="958">
        <v>32231.32</v>
      </c>
      <c r="I1199" s="973"/>
      <c r="J1199" s="973"/>
      <c r="K1199" s="529"/>
      <c r="L1199" s="961"/>
      <c r="M1199" s="961"/>
      <c r="N1199" s="983">
        <v>0</v>
      </c>
      <c r="O1199" s="981"/>
      <c r="P1199" s="772"/>
      <c r="Q1199" s="812"/>
      <c r="R1199" s="953"/>
    </row>
    <row r="1200" spans="1:18" s="440" customFormat="1" ht="36" customHeight="1">
      <c r="A1200" s="984"/>
      <c r="B1200" s="972"/>
      <c r="C1200" s="986"/>
      <c r="D1200" s="438"/>
      <c r="E1200" s="957" t="s">
        <v>459</v>
      </c>
      <c r="F1200" s="961"/>
      <c r="G1200" s="961"/>
      <c r="H1200" s="958">
        <v>0</v>
      </c>
      <c r="I1200" s="973"/>
      <c r="J1200" s="973"/>
      <c r="K1200" s="529"/>
      <c r="L1200" s="961"/>
      <c r="M1200" s="961"/>
      <c r="N1200" s="983">
        <v>0</v>
      </c>
      <c r="O1200" s="981"/>
      <c r="P1200" s="772"/>
      <c r="Q1200" s="812"/>
      <c r="R1200" s="953"/>
    </row>
    <row r="1201" spans="1:18" s="440" customFormat="1" ht="36" customHeight="1">
      <c r="A1201" s="984"/>
      <c r="B1201" s="972"/>
      <c r="C1201" s="986"/>
      <c r="D1201" s="438"/>
      <c r="E1201" s="957" t="s">
        <v>460</v>
      </c>
      <c r="F1201" s="961"/>
      <c r="G1201" s="961"/>
      <c r="H1201" s="958">
        <v>692</v>
      </c>
      <c r="I1201" s="973"/>
      <c r="J1201" s="973"/>
      <c r="K1201" s="529"/>
      <c r="L1201" s="961"/>
      <c r="M1201" s="961"/>
      <c r="N1201" s="983">
        <v>0</v>
      </c>
      <c r="O1201" s="981"/>
      <c r="P1201" s="772"/>
      <c r="Q1201" s="812"/>
      <c r="R1201" s="953"/>
    </row>
    <row r="1202" spans="1:18" s="440" customFormat="1" ht="36" customHeight="1">
      <c r="A1202" s="984"/>
      <c r="B1202" s="972"/>
      <c r="C1202" s="986"/>
      <c r="D1202" s="438"/>
      <c r="E1202" s="957" t="s">
        <v>461</v>
      </c>
      <c r="F1202" s="961"/>
      <c r="G1202" s="961"/>
      <c r="H1202" s="958">
        <v>35817</v>
      </c>
      <c r="I1202" s="973"/>
      <c r="J1202" s="973"/>
      <c r="K1202" s="529"/>
      <c r="L1202" s="961"/>
      <c r="M1202" s="961"/>
      <c r="N1202" s="983">
        <v>1800</v>
      </c>
      <c r="O1202" s="981"/>
      <c r="P1202" s="772"/>
      <c r="Q1202" s="812"/>
      <c r="R1202" s="953"/>
    </row>
    <row r="1203" spans="1:18" s="440" customFormat="1" ht="36" customHeight="1">
      <c r="A1203" s="984"/>
      <c r="B1203" s="972"/>
      <c r="C1203" s="986"/>
      <c r="D1203" s="438"/>
      <c r="E1203" s="957" t="s">
        <v>462</v>
      </c>
      <c r="F1203" s="961"/>
      <c r="G1203" s="961"/>
      <c r="H1203" s="958">
        <v>0</v>
      </c>
      <c r="I1203" s="973"/>
      <c r="J1203" s="973"/>
      <c r="K1203" s="529"/>
      <c r="L1203" s="961"/>
      <c r="M1203" s="961"/>
      <c r="N1203" s="983">
        <v>0</v>
      </c>
      <c r="O1203" s="981"/>
      <c r="P1203" s="772"/>
      <c r="Q1203" s="812"/>
      <c r="R1203" s="953"/>
    </row>
    <row r="1204" spans="1:18" s="440" customFormat="1" ht="61.5" customHeight="1">
      <c r="A1204" s="984"/>
      <c r="B1204" s="972"/>
      <c r="C1204" s="986"/>
      <c r="D1204" s="438"/>
      <c r="E1204" s="957" t="s">
        <v>463</v>
      </c>
      <c r="F1204" s="961"/>
      <c r="G1204" s="961"/>
      <c r="H1204" s="958">
        <v>0</v>
      </c>
      <c r="I1204" s="973"/>
      <c r="J1204" s="973"/>
      <c r="K1204" s="529"/>
      <c r="L1204" s="961"/>
      <c r="M1204" s="961"/>
      <c r="N1204" s="983">
        <v>0</v>
      </c>
      <c r="O1204" s="981"/>
      <c r="P1204" s="772"/>
      <c r="Q1204" s="812"/>
      <c r="R1204" s="953"/>
    </row>
    <row r="1205" spans="1:18" s="440" customFormat="1" ht="36" customHeight="1">
      <c r="A1205" s="984"/>
      <c r="B1205" s="972"/>
      <c r="C1205" s="986"/>
      <c r="D1205" s="438"/>
      <c r="E1205" s="957" t="s">
        <v>464</v>
      </c>
      <c r="F1205" s="961"/>
      <c r="G1205" s="961"/>
      <c r="H1205" s="958">
        <v>0</v>
      </c>
      <c r="I1205" s="973"/>
      <c r="J1205" s="973"/>
      <c r="K1205" s="529"/>
      <c r="L1205" s="961"/>
      <c r="M1205" s="961"/>
      <c r="N1205" s="983">
        <v>0</v>
      </c>
      <c r="O1205" s="981"/>
      <c r="P1205" s="772"/>
      <c r="Q1205" s="812"/>
      <c r="R1205" s="953"/>
    </row>
    <row r="1206" spans="1:18" s="440" customFormat="1" ht="36" customHeight="1">
      <c r="A1206" s="984"/>
      <c r="B1206" s="972"/>
      <c r="C1206" s="986"/>
      <c r="D1206" s="438"/>
      <c r="E1206" s="957" t="s">
        <v>465</v>
      </c>
      <c r="F1206" s="961"/>
      <c r="G1206" s="961"/>
      <c r="H1206" s="958">
        <v>0</v>
      </c>
      <c r="I1206" s="973"/>
      <c r="J1206" s="973"/>
      <c r="K1206" s="529"/>
      <c r="L1206" s="961"/>
      <c r="M1206" s="961"/>
      <c r="N1206" s="983">
        <v>0</v>
      </c>
      <c r="O1206" s="981"/>
      <c r="P1206" s="772"/>
      <c r="Q1206" s="812"/>
      <c r="R1206" s="953"/>
    </row>
    <row r="1207" spans="1:18" s="440" customFormat="1" ht="36" customHeight="1">
      <c r="A1207" s="984"/>
      <c r="B1207" s="972"/>
      <c r="C1207" s="986"/>
      <c r="D1207" s="438"/>
      <c r="E1207" s="957" t="s">
        <v>466</v>
      </c>
      <c r="F1207" s="961"/>
      <c r="G1207" s="961"/>
      <c r="H1207" s="958">
        <v>1674.81</v>
      </c>
      <c r="I1207" s="973"/>
      <c r="J1207" s="973"/>
      <c r="K1207" s="529"/>
      <c r="L1207" s="961"/>
      <c r="M1207" s="961"/>
      <c r="N1207" s="983">
        <v>0</v>
      </c>
      <c r="O1207" s="981"/>
      <c r="P1207" s="772"/>
      <c r="Q1207" s="812"/>
      <c r="R1207" s="953"/>
    </row>
    <row r="1208" spans="1:18" s="440" customFormat="1" ht="57" customHeight="1">
      <c r="A1208" s="984"/>
      <c r="B1208" s="972"/>
      <c r="C1208" s="986"/>
      <c r="D1208" s="438"/>
      <c r="E1208" s="945" t="s">
        <v>467</v>
      </c>
      <c r="F1208" s="949">
        <v>117300</v>
      </c>
      <c r="G1208" s="949">
        <v>111778</v>
      </c>
      <c r="H1208" s="949">
        <v>74715.13</v>
      </c>
      <c r="I1208" s="973"/>
      <c r="J1208" s="973"/>
      <c r="K1208" s="529"/>
      <c r="L1208" s="949">
        <v>0</v>
      </c>
      <c r="M1208" s="949">
        <v>0</v>
      </c>
      <c r="N1208" s="949">
        <v>0</v>
      </c>
      <c r="O1208" s="978">
        <v>0</v>
      </c>
      <c r="P1208" s="772" t="s">
        <v>395</v>
      </c>
      <c r="Q1208" s="812"/>
      <c r="R1208" s="953"/>
    </row>
    <row r="1209" spans="1:18" s="183" customFormat="1" ht="45" customHeight="1">
      <c r="A1209" s="487"/>
      <c r="B1209" s="173"/>
      <c r="C1209" s="571">
        <v>2</v>
      </c>
      <c r="D1209" s="572"/>
      <c r="E1209" s="736" t="s">
        <v>260</v>
      </c>
      <c r="F1209" s="711"/>
      <c r="G1209" s="710"/>
      <c r="H1209" s="710"/>
      <c r="I1209" s="710"/>
      <c r="J1209" s="599"/>
      <c r="K1209" s="710">
        <v>140391</v>
      </c>
      <c r="L1209" s="710">
        <f>L1210+L1229+L1251</f>
        <v>140391</v>
      </c>
      <c r="M1209" s="710">
        <f t="shared" ref="M1209:N1209" si="103">M1210+M1229+M1251</f>
        <v>140961</v>
      </c>
      <c r="N1209" s="710">
        <f t="shared" si="103"/>
        <v>62904.970000000008</v>
      </c>
      <c r="O1209" s="879">
        <f>N1209/M1209</f>
        <v>0.44625797206319484</v>
      </c>
      <c r="P1209" s="782" t="s">
        <v>395</v>
      </c>
      <c r="Q1209" s="667"/>
    </row>
    <row r="1210" spans="1:18" s="431" customFormat="1" ht="39.9" customHeight="1">
      <c r="A1210" s="987"/>
      <c r="B1210" s="944"/>
      <c r="C1210" s="458"/>
      <c r="D1210" s="444"/>
      <c r="E1210" s="945" t="s">
        <v>412</v>
      </c>
      <c r="F1210" s="976"/>
      <c r="G1210" s="946"/>
      <c r="H1210" s="946"/>
      <c r="I1210" s="946"/>
      <c r="J1210" s="947"/>
      <c r="K1210" s="948"/>
      <c r="L1210" s="949">
        <v>113391</v>
      </c>
      <c r="M1210" s="949">
        <v>93391</v>
      </c>
      <c r="N1210" s="977">
        <f>SUM(N1212:N1228)</f>
        <v>42342.760000000009</v>
      </c>
      <c r="O1210" s="978">
        <f>N1210/M1210</f>
        <v>0.45339229690227117</v>
      </c>
      <c r="P1210" s="780" t="s">
        <v>395</v>
      </c>
      <c r="Q1210" s="908"/>
      <c r="R1210" s="951"/>
    </row>
    <row r="1211" spans="1:18" s="440" customFormat="1" ht="34.5" customHeight="1">
      <c r="A1211" s="984"/>
      <c r="B1211" s="972"/>
      <c r="C1211" s="450"/>
      <c r="D1211" s="438"/>
      <c r="E1211" s="952" t="s">
        <v>13</v>
      </c>
      <c r="F1211" s="985"/>
      <c r="G1211" s="973"/>
      <c r="H1211" s="973"/>
      <c r="I1211" s="973"/>
      <c r="J1211" s="973"/>
      <c r="K1211" s="383"/>
      <c r="L1211" s="980"/>
      <c r="M1211" s="980"/>
      <c r="N1211" s="980"/>
      <c r="O1211" s="981"/>
      <c r="P1211" s="772"/>
      <c r="Q1211" s="812"/>
      <c r="R1211" s="953"/>
    </row>
    <row r="1212" spans="1:18" s="440" customFormat="1" ht="36" customHeight="1">
      <c r="A1212" s="984"/>
      <c r="B1212" s="972"/>
      <c r="C1212" s="450"/>
      <c r="D1212" s="425"/>
      <c r="E1212" s="954" t="s">
        <v>518</v>
      </c>
      <c r="F1212" s="985"/>
      <c r="G1212" s="973"/>
      <c r="H1212" s="973"/>
      <c r="I1212" s="973"/>
      <c r="J1212" s="973"/>
      <c r="K1212" s="383"/>
      <c r="L1212" s="955"/>
      <c r="M1212" s="955"/>
      <c r="N1212" s="983">
        <v>31046.16</v>
      </c>
      <c r="O1212" s="981"/>
      <c r="P1212" s="772"/>
      <c r="Q1212" s="812"/>
      <c r="R1212" s="953"/>
    </row>
    <row r="1213" spans="1:18" s="440" customFormat="1" ht="57" customHeight="1">
      <c r="A1213" s="984"/>
      <c r="B1213" s="972"/>
      <c r="C1213" s="450"/>
      <c r="D1213" s="438"/>
      <c r="E1213" s="954" t="s">
        <v>478</v>
      </c>
      <c r="F1213" s="985"/>
      <c r="G1213" s="973"/>
      <c r="H1213" s="973"/>
      <c r="I1213" s="973"/>
      <c r="J1213" s="973"/>
      <c r="K1213" s="383"/>
      <c r="L1213" s="955"/>
      <c r="M1213" s="955"/>
      <c r="N1213" s="983">
        <v>0</v>
      </c>
      <c r="O1213" s="981"/>
      <c r="P1213" s="772"/>
      <c r="Q1213" s="812"/>
      <c r="R1213" s="953"/>
    </row>
    <row r="1214" spans="1:18" s="440" customFormat="1" ht="58.8" customHeight="1">
      <c r="A1214" s="984"/>
      <c r="B1214" s="972"/>
      <c r="C1214" s="450"/>
      <c r="D1214" s="438"/>
      <c r="E1214" s="954" t="s">
        <v>519</v>
      </c>
      <c r="F1214" s="985"/>
      <c r="G1214" s="973"/>
      <c r="H1214" s="973"/>
      <c r="I1214" s="973"/>
      <c r="J1214" s="973"/>
      <c r="K1214" s="383"/>
      <c r="L1214" s="955"/>
      <c r="M1214" s="955"/>
      <c r="N1214" s="983">
        <v>654.55999999999995</v>
      </c>
      <c r="O1214" s="981"/>
      <c r="P1214" s="772"/>
      <c r="Q1214" s="812"/>
      <c r="R1214" s="953"/>
    </row>
    <row r="1215" spans="1:18" s="440" customFormat="1" ht="37.5" customHeight="1">
      <c r="A1215" s="984"/>
      <c r="B1215" s="972"/>
      <c r="C1215" s="450"/>
      <c r="D1215" s="438"/>
      <c r="E1215" s="954" t="s">
        <v>520</v>
      </c>
      <c r="F1215" s="985"/>
      <c r="G1215" s="973"/>
      <c r="H1215" s="973"/>
      <c r="I1215" s="973"/>
      <c r="J1215" s="973"/>
      <c r="K1215" s="383"/>
      <c r="L1215" s="955"/>
      <c r="M1215" s="955"/>
      <c r="N1215" s="983">
        <v>511.46</v>
      </c>
      <c r="O1215" s="981"/>
      <c r="P1215" s="772"/>
      <c r="Q1215" s="812"/>
      <c r="R1215" s="953"/>
    </row>
    <row r="1216" spans="1:18" s="440" customFormat="1" ht="36" customHeight="1">
      <c r="A1216" s="984"/>
      <c r="B1216" s="972"/>
      <c r="C1216" s="450"/>
      <c r="D1216" s="438"/>
      <c r="E1216" s="954" t="s">
        <v>436</v>
      </c>
      <c r="F1216" s="985"/>
      <c r="G1216" s="973"/>
      <c r="H1216" s="973"/>
      <c r="I1216" s="973"/>
      <c r="J1216" s="973"/>
      <c r="K1216" s="383"/>
      <c r="L1216" s="955"/>
      <c r="M1216" s="955"/>
      <c r="N1216" s="983">
        <v>0</v>
      </c>
      <c r="O1216" s="981"/>
      <c r="P1216" s="772"/>
      <c r="Q1216" s="812"/>
      <c r="R1216" s="953"/>
    </row>
    <row r="1217" spans="1:18" s="440" customFormat="1" ht="36" customHeight="1">
      <c r="A1217" s="984"/>
      <c r="B1217" s="972"/>
      <c r="C1217" s="450"/>
      <c r="D1217" s="438"/>
      <c r="E1217" s="954" t="s">
        <v>437</v>
      </c>
      <c r="F1217" s="985"/>
      <c r="G1217" s="973"/>
      <c r="H1217" s="973"/>
      <c r="I1217" s="973"/>
      <c r="J1217" s="973"/>
      <c r="K1217" s="383"/>
      <c r="L1217" s="955"/>
      <c r="M1217" s="955"/>
      <c r="N1217" s="983">
        <v>0</v>
      </c>
      <c r="O1217" s="981"/>
      <c r="P1217" s="772"/>
      <c r="Q1217" s="812"/>
      <c r="R1217" s="953"/>
    </row>
    <row r="1218" spans="1:18" s="440" customFormat="1" ht="36" customHeight="1">
      <c r="A1218" s="984"/>
      <c r="B1218" s="972"/>
      <c r="C1218" s="450"/>
      <c r="D1218" s="438"/>
      <c r="E1218" s="954" t="s">
        <v>438</v>
      </c>
      <c r="F1218" s="985"/>
      <c r="G1218" s="973"/>
      <c r="H1218" s="973"/>
      <c r="I1218" s="973"/>
      <c r="J1218" s="973"/>
      <c r="K1218" s="383"/>
      <c r="L1218" s="955"/>
      <c r="M1218" s="955"/>
      <c r="N1218" s="983">
        <v>0</v>
      </c>
      <c r="O1218" s="981"/>
      <c r="P1218" s="772"/>
      <c r="Q1218" s="812"/>
      <c r="R1218" s="953"/>
    </row>
    <row r="1219" spans="1:18" s="440" customFormat="1" ht="36" customHeight="1">
      <c r="A1219" s="984"/>
      <c r="B1219" s="972"/>
      <c r="C1219" s="450"/>
      <c r="D1219" s="438"/>
      <c r="E1219" s="954" t="s">
        <v>490</v>
      </c>
      <c r="F1219" s="985"/>
      <c r="G1219" s="973"/>
      <c r="H1219" s="973"/>
      <c r="I1219" s="973"/>
      <c r="J1219" s="973"/>
      <c r="K1219" s="383"/>
      <c r="L1219" s="955"/>
      <c r="M1219" s="955"/>
      <c r="N1219" s="983">
        <v>1351.3</v>
      </c>
      <c r="O1219" s="981"/>
      <c r="P1219" s="772"/>
      <c r="Q1219" s="812"/>
      <c r="R1219" s="953"/>
    </row>
    <row r="1220" spans="1:18" s="440" customFormat="1" ht="36" customHeight="1">
      <c r="A1220" s="984"/>
      <c r="B1220" s="972"/>
      <c r="C1220" s="450"/>
      <c r="D1220" s="438"/>
      <c r="E1220" s="954" t="s">
        <v>439</v>
      </c>
      <c r="F1220" s="985"/>
      <c r="G1220" s="973"/>
      <c r="H1220" s="973"/>
      <c r="I1220" s="973"/>
      <c r="J1220" s="973"/>
      <c r="K1220" s="383"/>
      <c r="L1220" s="955"/>
      <c r="M1220" s="955"/>
      <c r="N1220" s="983">
        <v>0</v>
      </c>
      <c r="O1220" s="981"/>
      <c r="P1220" s="772"/>
      <c r="Q1220" s="812"/>
      <c r="R1220" s="953"/>
    </row>
    <row r="1221" spans="1:18" s="440" customFormat="1" ht="36" customHeight="1">
      <c r="A1221" s="984"/>
      <c r="B1221" s="972"/>
      <c r="C1221" s="450"/>
      <c r="D1221" s="438"/>
      <c r="E1221" s="954" t="s">
        <v>440</v>
      </c>
      <c r="F1221" s="985"/>
      <c r="G1221" s="973"/>
      <c r="H1221" s="973"/>
      <c r="I1221" s="973"/>
      <c r="J1221" s="973"/>
      <c r="K1221" s="383"/>
      <c r="L1221" s="955"/>
      <c r="M1221" s="955"/>
      <c r="N1221" s="983">
        <v>0</v>
      </c>
      <c r="O1221" s="981"/>
      <c r="P1221" s="772"/>
      <c r="Q1221" s="812"/>
      <c r="R1221" s="953"/>
    </row>
    <row r="1222" spans="1:18" s="440" customFormat="1" ht="36" customHeight="1">
      <c r="A1222" s="984"/>
      <c r="B1222" s="972"/>
      <c r="C1222" s="450"/>
      <c r="D1222" s="438"/>
      <c r="E1222" s="954" t="s">
        <v>441</v>
      </c>
      <c r="F1222" s="985"/>
      <c r="G1222" s="973"/>
      <c r="H1222" s="973"/>
      <c r="I1222" s="973"/>
      <c r="J1222" s="973"/>
      <c r="K1222" s="383"/>
      <c r="L1222" s="955"/>
      <c r="M1222" s="955"/>
      <c r="N1222" s="983">
        <v>0</v>
      </c>
      <c r="O1222" s="981"/>
      <c r="P1222" s="772"/>
      <c r="Q1222" s="812"/>
      <c r="R1222" s="953"/>
    </row>
    <row r="1223" spans="1:18" s="440" customFormat="1" ht="42" customHeight="1">
      <c r="A1223" s="984"/>
      <c r="B1223" s="972"/>
      <c r="C1223" s="450"/>
      <c r="D1223" s="438"/>
      <c r="E1223" s="954" t="s">
        <v>509</v>
      </c>
      <c r="F1223" s="985"/>
      <c r="G1223" s="973"/>
      <c r="H1223" s="973"/>
      <c r="I1223" s="973"/>
      <c r="J1223" s="973"/>
      <c r="K1223" s="383"/>
      <c r="L1223" s="955"/>
      <c r="M1223" s="955"/>
      <c r="N1223" s="983">
        <v>0</v>
      </c>
      <c r="O1223" s="981"/>
      <c r="P1223" s="772"/>
      <c r="Q1223" s="812"/>
      <c r="R1223" s="953"/>
    </row>
    <row r="1224" spans="1:18" s="440" customFormat="1" ht="36" customHeight="1">
      <c r="A1224" s="984"/>
      <c r="B1224" s="972"/>
      <c r="C1224" s="450"/>
      <c r="D1224" s="438"/>
      <c r="E1224" s="954" t="s">
        <v>442</v>
      </c>
      <c r="F1224" s="985"/>
      <c r="G1224" s="973"/>
      <c r="H1224" s="973"/>
      <c r="I1224" s="973"/>
      <c r="J1224" s="973"/>
      <c r="K1224" s="383"/>
      <c r="L1224" s="955"/>
      <c r="M1224" s="955"/>
      <c r="N1224" s="983">
        <v>0</v>
      </c>
      <c r="O1224" s="981"/>
      <c r="P1224" s="772"/>
      <c r="Q1224" s="812"/>
      <c r="R1224" s="953"/>
    </row>
    <row r="1225" spans="1:18" s="440" customFormat="1" ht="36" customHeight="1">
      <c r="A1225" s="984"/>
      <c r="B1225" s="972"/>
      <c r="C1225" s="450"/>
      <c r="D1225" s="438"/>
      <c r="E1225" s="954" t="s">
        <v>443</v>
      </c>
      <c r="F1225" s="985"/>
      <c r="G1225" s="973"/>
      <c r="H1225" s="973"/>
      <c r="I1225" s="973"/>
      <c r="J1225" s="973"/>
      <c r="K1225" s="383"/>
      <c r="L1225" s="955"/>
      <c r="M1225" s="955"/>
      <c r="N1225" s="983">
        <v>2829.44</v>
      </c>
      <c r="O1225" s="981"/>
      <c r="P1225" s="772"/>
      <c r="Q1225" s="812"/>
      <c r="R1225" s="953"/>
    </row>
    <row r="1226" spans="1:18" s="440" customFormat="1" ht="36" customHeight="1">
      <c r="A1226" s="984"/>
      <c r="B1226" s="972"/>
      <c r="C1226" s="450"/>
      <c r="D1226" s="438"/>
      <c r="E1226" s="954" t="s">
        <v>485</v>
      </c>
      <c r="F1226" s="985"/>
      <c r="G1226" s="973"/>
      <c r="H1226" s="973"/>
      <c r="I1226" s="973"/>
      <c r="J1226" s="973"/>
      <c r="K1226" s="383"/>
      <c r="L1226" s="955"/>
      <c r="M1226" s="955"/>
      <c r="N1226" s="983">
        <v>0</v>
      </c>
      <c r="O1226" s="981"/>
      <c r="P1226" s="772"/>
      <c r="Q1226" s="812"/>
      <c r="R1226" s="953"/>
    </row>
    <row r="1227" spans="1:18" s="440" customFormat="1" ht="36" customHeight="1">
      <c r="A1227" s="984"/>
      <c r="B1227" s="972"/>
      <c r="C1227" s="450"/>
      <c r="D1227" s="438"/>
      <c r="E1227" s="954" t="s">
        <v>445</v>
      </c>
      <c r="F1227" s="985"/>
      <c r="G1227" s="973"/>
      <c r="H1227" s="973"/>
      <c r="I1227" s="973"/>
      <c r="J1227" s="973"/>
      <c r="K1227" s="383"/>
      <c r="L1227" s="955"/>
      <c r="M1227" s="955"/>
      <c r="N1227" s="983">
        <v>0</v>
      </c>
      <c r="O1227" s="981"/>
      <c r="P1227" s="772"/>
      <c r="Q1227" s="812"/>
      <c r="R1227" s="953"/>
    </row>
    <row r="1228" spans="1:18" s="440" customFormat="1" ht="36" customHeight="1">
      <c r="A1228" s="984"/>
      <c r="B1228" s="972"/>
      <c r="C1228" s="450"/>
      <c r="D1228" s="438"/>
      <c r="E1228" s="954" t="s">
        <v>446</v>
      </c>
      <c r="F1228" s="985"/>
      <c r="G1228" s="973"/>
      <c r="H1228" s="973"/>
      <c r="I1228" s="973"/>
      <c r="J1228" s="973"/>
      <c r="K1228" s="383"/>
      <c r="L1228" s="955"/>
      <c r="M1228" s="955"/>
      <c r="N1228" s="983">
        <v>5949.84</v>
      </c>
      <c r="O1228" s="981"/>
      <c r="P1228" s="772"/>
      <c r="Q1228" s="812"/>
      <c r="R1228" s="953"/>
    </row>
    <row r="1229" spans="1:18" s="440" customFormat="1" ht="57" customHeight="1">
      <c r="A1229" s="984"/>
      <c r="B1229" s="972"/>
      <c r="C1229" s="986"/>
      <c r="D1229" s="438"/>
      <c r="E1229" s="945" t="s">
        <v>418</v>
      </c>
      <c r="F1229" s="949">
        <v>117300</v>
      </c>
      <c r="G1229" s="949">
        <v>111778</v>
      </c>
      <c r="H1229" s="949">
        <v>74715.13</v>
      </c>
      <c r="I1229" s="973"/>
      <c r="J1229" s="973"/>
      <c r="K1229" s="529"/>
      <c r="L1229" s="949">
        <v>27000</v>
      </c>
      <c r="M1229" s="949">
        <v>47570</v>
      </c>
      <c r="N1229" s="977">
        <f>SUM(N1230:N1250)</f>
        <v>20562.21</v>
      </c>
      <c r="O1229" s="978">
        <f>N1229/M1229</f>
        <v>0.43225162917805338</v>
      </c>
      <c r="P1229" s="772" t="s">
        <v>395</v>
      </c>
      <c r="Q1229" s="812"/>
      <c r="R1229" s="953"/>
    </row>
    <row r="1230" spans="1:18" s="440" customFormat="1" ht="57.75" customHeight="1">
      <c r="A1230" s="984"/>
      <c r="B1230" s="972"/>
      <c r="C1230" s="986"/>
      <c r="D1230" s="438"/>
      <c r="E1230" s="957" t="s">
        <v>447</v>
      </c>
      <c r="F1230" s="958"/>
      <c r="G1230" s="958"/>
      <c r="H1230" s="958">
        <v>0</v>
      </c>
      <c r="I1230" s="973"/>
      <c r="J1230" s="973"/>
      <c r="K1230" s="529"/>
      <c r="L1230" s="958"/>
      <c r="M1230" s="958"/>
      <c r="N1230" s="983">
        <v>0</v>
      </c>
      <c r="O1230" s="981"/>
      <c r="P1230" s="772"/>
      <c r="Q1230" s="812"/>
      <c r="R1230" s="953"/>
    </row>
    <row r="1231" spans="1:18" s="440" customFormat="1" ht="36" customHeight="1">
      <c r="A1231" s="984"/>
      <c r="B1231" s="972"/>
      <c r="C1231" s="450"/>
      <c r="D1231" s="438"/>
      <c r="E1231" s="957" t="s">
        <v>448</v>
      </c>
      <c r="F1231" s="958"/>
      <c r="G1231" s="958"/>
      <c r="H1231" s="958">
        <v>0</v>
      </c>
      <c r="I1231" s="973"/>
      <c r="J1231" s="973"/>
      <c r="K1231" s="529"/>
      <c r="L1231" s="958"/>
      <c r="M1231" s="958"/>
      <c r="N1231" s="983">
        <v>0</v>
      </c>
      <c r="O1231" s="981"/>
      <c r="P1231" s="772"/>
      <c r="Q1231" s="812"/>
      <c r="R1231" s="953"/>
    </row>
    <row r="1232" spans="1:18" s="440" customFormat="1" ht="36" customHeight="1">
      <c r="A1232" s="984"/>
      <c r="B1232" s="972"/>
      <c r="C1232" s="450"/>
      <c r="D1232" s="438"/>
      <c r="E1232" s="957" t="s">
        <v>449</v>
      </c>
      <c r="F1232" s="958"/>
      <c r="G1232" s="958"/>
      <c r="H1232" s="958">
        <v>0</v>
      </c>
      <c r="I1232" s="973"/>
      <c r="J1232" s="973"/>
      <c r="K1232" s="529"/>
      <c r="L1232" s="958"/>
      <c r="M1232" s="958"/>
      <c r="N1232" s="983">
        <v>0</v>
      </c>
      <c r="O1232" s="981"/>
      <c r="P1232" s="772"/>
      <c r="Q1232" s="812"/>
      <c r="R1232" s="953"/>
    </row>
    <row r="1233" spans="1:18" s="440" customFormat="1" ht="36" customHeight="1">
      <c r="A1233" s="984"/>
      <c r="B1233" s="972"/>
      <c r="C1233" s="450"/>
      <c r="D1233" s="438"/>
      <c r="E1233" s="957" t="s">
        <v>450</v>
      </c>
      <c r="F1233" s="958"/>
      <c r="G1233" s="958"/>
      <c r="H1233" s="958">
        <v>0</v>
      </c>
      <c r="I1233" s="973"/>
      <c r="J1233" s="973"/>
      <c r="K1233" s="529"/>
      <c r="L1233" s="958"/>
      <c r="M1233" s="958"/>
      <c r="N1233" s="983">
        <v>0</v>
      </c>
      <c r="O1233" s="981"/>
      <c r="P1233" s="772"/>
      <c r="Q1233" s="812"/>
      <c r="R1233" s="953"/>
    </row>
    <row r="1234" spans="1:18" s="440" customFormat="1" ht="36" customHeight="1">
      <c r="A1234" s="984"/>
      <c r="B1234" s="972"/>
      <c r="C1234" s="450"/>
      <c r="D1234" s="438"/>
      <c r="E1234" s="957" t="s">
        <v>451</v>
      </c>
      <c r="F1234" s="958"/>
      <c r="G1234" s="958"/>
      <c r="H1234" s="958">
        <v>0</v>
      </c>
      <c r="I1234" s="973"/>
      <c r="J1234" s="973"/>
      <c r="K1234" s="529"/>
      <c r="L1234" s="958"/>
      <c r="M1234" s="958"/>
      <c r="N1234" s="983">
        <v>0</v>
      </c>
      <c r="O1234" s="981"/>
      <c r="P1234" s="772"/>
      <c r="Q1234" s="812"/>
      <c r="R1234" s="953"/>
    </row>
    <row r="1235" spans="1:18" s="440" customFormat="1" ht="36" customHeight="1">
      <c r="A1235" s="984"/>
      <c r="B1235" s="972"/>
      <c r="C1235" s="450"/>
      <c r="D1235" s="438"/>
      <c r="E1235" s="960" t="s">
        <v>486</v>
      </c>
      <c r="F1235" s="958"/>
      <c r="G1235" s="958"/>
      <c r="H1235" s="958">
        <v>4300</v>
      </c>
      <c r="I1235" s="973"/>
      <c r="J1235" s="973"/>
      <c r="K1235" s="529"/>
      <c r="L1235" s="958"/>
      <c r="M1235" s="958"/>
      <c r="N1235" s="983">
        <v>0</v>
      </c>
      <c r="O1235" s="981"/>
      <c r="P1235" s="772"/>
      <c r="Q1235" s="812"/>
      <c r="R1235" s="953"/>
    </row>
    <row r="1236" spans="1:18" s="440" customFormat="1" ht="84" customHeight="1">
      <c r="A1236" s="984"/>
      <c r="B1236" s="972"/>
      <c r="C1236" s="450"/>
      <c r="D1236" s="438"/>
      <c r="E1236" s="957" t="s">
        <v>452</v>
      </c>
      <c r="F1236" s="958"/>
      <c r="G1236" s="958"/>
      <c r="H1236" s="958">
        <v>0</v>
      </c>
      <c r="I1236" s="973"/>
      <c r="J1236" s="973"/>
      <c r="K1236" s="529"/>
      <c r="L1236" s="958"/>
      <c r="M1236" s="958"/>
      <c r="N1236" s="983">
        <v>9708.9500000000007</v>
      </c>
      <c r="O1236" s="981"/>
      <c r="P1236" s="772"/>
      <c r="Q1236" s="812"/>
      <c r="R1236" s="953"/>
    </row>
    <row r="1237" spans="1:18" s="440" customFormat="1" ht="64.5" customHeight="1">
      <c r="A1237" s="984"/>
      <c r="B1237" s="972"/>
      <c r="C1237" s="450"/>
      <c r="D1237" s="438"/>
      <c r="E1237" s="957" t="s">
        <v>453</v>
      </c>
      <c r="F1237" s="958"/>
      <c r="G1237" s="958"/>
      <c r="H1237" s="958">
        <v>0</v>
      </c>
      <c r="I1237" s="973"/>
      <c r="J1237" s="973"/>
      <c r="K1237" s="529"/>
      <c r="L1237" s="958"/>
      <c r="M1237" s="958"/>
      <c r="N1237" s="983">
        <v>1797</v>
      </c>
      <c r="O1237" s="981"/>
      <c r="P1237" s="772"/>
      <c r="Q1237" s="812"/>
      <c r="R1237" s="953"/>
    </row>
    <row r="1238" spans="1:18" s="440" customFormat="1" ht="36" customHeight="1">
      <c r="A1238" s="984"/>
      <c r="B1238" s="972"/>
      <c r="C1238" s="450"/>
      <c r="D1238" s="438"/>
      <c r="E1238" s="957" t="s">
        <v>454</v>
      </c>
      <c r="F1238" s="958"/>
      <c r="G1238" s="958"/>
      <c r="H1238" s="958">
        <v>0</v>
      </c>
      <c r="I1238" s="973"/>
      <c r="J1238" s="973"/>
      <c r="K1238" s="529"/>
      <c r="L1238" s="958"/>
      <c r="M1238" s="958"/>
      <c r="N1238" s="983">
        <v>0</v>
      </c>
      <c r="O1238" s="981"/>
      <c r="P1238" s="772"/>
      <c r="Q1238" s="812"/>
      <c r="R1238" s="953"/>
    </row>
    <row r="1239" spans="1:18" s="440" customFormat="1" ht="59.25" customHeight="1">
      <c r="A1239" s="984"/>
      <c r="B1239" s="972"/>
      <c r="C1239" s="450"/>
      <c r="D1239" s="438"/>
      <c r="E1239" s="957" t="s">
        <v>455</v>
      </c>
      <c r="F1239" s="958"/>
      <c r="G1239" s="958"/>
      <c r="H1239" s="958">
        <v>0</v>
      </c>
      <c r="I1239" s="973"/>
      <c r="J1239" s="973"/>
      <c r="K1239" s="529"/>
      <c r="L1239" s="958"/>
      <c r="M1239" s="958"/>
      <c r="N1239" s="983">
        <v>0</v>
      </c>
      <c r="O1239" s="981"/>
      <c r="P1239" s="772"/>
      <c r="Q1239" s="812"/>
      <c r="R1239" s="953"/>
    </row>
    <row r="1240" spans="1:18" s="440" customFormat="1" ht="36" customHeight="1">
      <c r="A1240" s="984"/>
      <c r="B1240" s="972"/>
      <c r="C1240" s="450"/>
      <c r="D1240" s="438"/>
      <c r="E1240" s="957" t="s">
        <v>456</v>
      </c>
      <c r="F1240" s="958"/>
      <c r="G1240" s="958"/>
      <c r="H1240" s="958">
        <v>0</v>
      </c>
      <c r="I1240" s="973"/>
      <c r="J1240" s="973"/>
      <c r="K1240" s="529"/>
      <c r="L1240" s="958"/>
      <c r="M1240" s="958"/>
      <c r="N1240" s="983">
        <v>0</v>
      </c>
      <c r="O1240" s="981"/>
      <c r="P1240" s="772"/>
      <c r="Q1240" s="812"/>
      <c r="R1240" s="953"/>
    </row>
    <row r="1241" spans="1:18" s="440" customFormat="1" ht="54.75" customHeight="1">
      <c r="A1241" s="984"/>
      <c r="B1241" s="972"/>
      <c r="C1241" s="450"/>
      <c r="D1241" s="438"/>
      <c r="E1241" s="957" t="s">
        <v>457</v>
      </c>
      <c r="F1241" s="958"/>
      <c r="G1241" s="958"/>
      <c r="H1241" s="958">
        <v>0</v>
      </c>
      <c r="I1241" s="973"/>
      <c r="J1241" s="973"/>
      <c r="K1241" s="529"/>
      <c r="L1241" s="958"/>
      <c r="M1241" s="958"/>
      <c r="N1241" s="983">
        <v>4481.26</v>
      </c>
      <c r="O1241" s="981"/>
      <c r="P1241" s="772"/>
      <c r="Q1241" s="812"/>
      <c r="R1241" s="953"/>
    </row>
    <row r="1242" spans="1:18" s="440" customFormat="1" ht="36" customHeight="1">
      <c r="A1242" s="984"/>
      <c r="B1242" s="972"/>
      <c r="C1242" s="450"/>
      <c r="D1242" s="438"/>
      <c r="E1242" s="957" t="s">
        <v>458</v>
      </c>
      <c r="F1242" s="961"/>
      <c r="G1242" s="961"/>
      <c r="H1242" s="958">
        <v>32231.32</v>
      </c>
      <c r="I1242" s="973"/>
      <c r="J1242" s="973"/>
      <c r="K1242" s="529"/>
      <c r="L1242" s="961"/>
      <c r="M1242" s="961"/>
      <c r="N1242" s="983">
        <v>0</v>
      </c>
      <c r="O1242" s="981"/>
      <c r="P1242" s="772"/>
      <c r="Q1242" s="812"/>
      <c r="R1242" s="953"/>
    </row>
    <row r="1243" spans="1:18" s="440" customFormat="1" ht="36" customHeight="1">
      <c r="A1243" s="984"/>
      <c r="B1243" s="972"/>
      <c r="C1243" s="450"/>
      <c r="D1243" s="438"/>
      <c r="E1243" s="957" t="s">
        <v>459</v>
      </c>
      <c r="F1243" s="961"/>
      <c r="G1243" s="961"/>
      <c r="H1243" s="958">
        <v>0</v>
      </c>
      <c r="I1243" s="973"/>
      <c r="J1243" s="973"/>
      <c r="K1243" s="529"/>
      <c r="L1243" s="961"/>
      <c r="M1243" s="961"/>
      <c r="N1243" s="983">
        <v>0</v>
      </c>
      <c r="O1243" s="981"/>
      <c r="P1243" s="772"/>
      <c r="Q1243" s="812"/>
      <c r="R1243" s="953"/>
    </row>
    <row r="1244" spans="1:18" s="440" customFormat="1" ht="36" customHeight="1">
      <c r="A1244" s="984"/>
      <c r="B1244" s="972"/>
      <c r="C1244" s="450"/>
      <c r="D1244" s="438"/>
      <c r="E1244" s="957" t="s">
        <v>460</v>
      </c>
      <c r="F1244" s="961"/>
      <c r="G1244" s="961"/>
      <c r="H1244" s="958">
        <v>692</v>
      </c>
      <c r="I1244" s="973"/>
      <c r="J1244" s="973"/>
      <c r="K1244" s="529"/>
      <c r="L1244" s="961"/>
      <c r="M1244" s="961"/>
      <c r="N1244" s="983">
        <v>0</v>
      </c>
      <c r="O1244" s="981"/>
      <c r="P1244" s="772"/>
      <c r="Q1244" s="812"/>
      <c r="R1244" s="953"/>
    </row>
    <row r="1245" spans="1:18" s="440" customFormat="1" ht="36" customHeight="1">
      <c r="A1245" s="984"/>
      <c r="B1245" s="972"/>
      <c r="C1245" s="450"/>
      <c r="D1245" s="438"/>
      <c r="E1245" s="957" t="s">
        <v>461</v>
      </c>
      <c r="F1245" s="961"/>
      <c r="G1245" s="961"/>
      <c r="H1245" s="958">
        <v>35817</v>
      </c>
      <c r="I1245" s="973"/>
      <c r="J1245" s="973"/>
      <c r="K1245" s="529"/>
      <c r="L1245" s="961"/>
      <c r="M1245" s="961"/>
      <c r="N1245" s="983">
        <v>4575</v>
      </c>
      <c r="O1245" s="981"/>
      <c r="P1245" s="772"/>
      <c r="Q1245" s="812"/>
      <c r="R1245" s="953"/>
    </row>
    <row r="1246" spans="1:18" s="440" customFormat="1" ht="36" customHeight="1">
      <c r="A1246" s="984"/>
      <c r="B1246" s="972"/>
      <c r="C1246" s="450"/>
      <c r="D1246" s="438"/>
      <c r="E1246" s="957" t="s">
        <v>462</v>
      </c>
      <c r="F1246" s="961"/>
      <c r="G1246" s="961"/>
      <c r="H1246" s="958">
        <v>0</v>
      </c>
      <c r="I1246" s="973"/>
      <c r="J1246" s="973"/>
      <c r="K1246" s="529"/>
      <c r="L1246" s="961"/>
      <c r="M1246" s="961"/>
      <c r="N1246" s="983">
        <v>0</v>
      </c>
      <c r="O1246" s="981"/>
      <c r="P1246" s="772"/>
      <c r="Q1246" s="812"/>
      <c r="R1246" s="953"/>
    </row>
    <row r="1247" spans="1:18" s="440" customFormat="1" ht="54.75" customHeight="1">
      <c r="A1247" s="984"/>
      <c r="B1247" s="972"/>
      <c r="C1247" s="450"/>
      <c r="D1247" s="438"/>
      <c r="E1247" s="957" t="s">
        <v>463</v>
      </c>
      <c r="F1247" s="961"/>
      <c r="G1247" s="961"/>
      <c r="H1247" s="958">
        <v>0</v>
      </c>
      <c r="I1247" s="973"/>
      <c r="J1247" s="973"/>
      <c r="K1247" s="529"/>
      <c r="L1247" s="961"/>
      <c r="M1247" s="961"/>
      <c r="N1247" s="983">
        <v>0</v>
      </c>
      <c r="O1247" s="981"/>
      <c r="P1247" s="772"/>
      <c r="Q1247" s="812"/>
      <c r="R1247" s="953"/>
    </row>
    <row r="1248" spans="1:18" s="440" customFormat="1" ht="36" customHeight="1">
      <c r="A1248" s="984"/>
      <c r="B1248" s="972"/>
      <c r="C1248" s="450"/>
      <c r="D1248" s="438"/>
      <c r="E1248" s="957" t="s">
        <v>464</v>
      </c>
      <c r="F1248" s="961"/>
      <c r="G1248" s="961"/>
      <c r="H1248" s="958">
        <v>0</v>
      </c>
      <c r="I1248" s="973"/>
      <c r="J1248" s="973"/>
      <c r="K1248" s="529"/>
      <c r="L1248" s="961"/>
      <c r="M1248" s="961"/>
      <c r="N1248" s="983">
        <v>0</v>
      </c>
      <c r="O1248" s="981"/>
      <c r="P1248" s="772"/>
      <c r="Q1248" s="812"/>
      <c r="R1248" s="953"/>
    </row>
    <row r="1249" spans="1:18" s="440" customFormat="1" ht="36" customHeight="1">
      <c r="A1249" s="984"/>
      <c r="B1249" s="972"/>
      <c r="C1249" s="450"/>
      <c r="D1249" s="438"/>
      <c r="E1249" s="957" t="s">
        <v>465</v>
      </c>
      <c r="F1249" s="961"/>
      <c r="G1249" s="961"/>
      <c r="H1249" s="958">
        <v>0</v>
      </c>
      <c r="I1249" s="973"/>
      <c r="J1249" s="973"/>
      <c r="K1249" s="529"/>
      <c r="L1249" s="961"/>
      <c r="M1249" s="961"/>
      <c r="N1249" s="983">
        <v>0</v>
      </c>
      <c r="O1249" s="981"/>
      <c r="P1249" s="772"/>
      <c r="Q1249" s="812"/>
      <c r="R1249" s="953"/>
    </row>
    <row r="1250" spans="1:18" s="440" customFormat="1" ht="36" customHeight="1">
      <c r="A1250" s="984"/>
      <c r="B1250" s="972"/>
      <c r="C1250" s="450"/>
      <c r="D1250" s="438"/>
      <c r="E1250" s="957" t="s">
        <v>466</v>
      </c>
      <c r="F1250" s="961"/>
      <c r="G1250" s="961"/>
      <c r="H1250" s="958">
        <v>1674.81</v>
      </c>
      <c r="I1250" s="973"/>
      <c r="J1250" s="973"/>
      <c r="K1250" s="529"/>
      <c r="L1250" s="961"/>
      <c r="M1250" s="961"/>
      <c r="N1250" s="983">
        <v>0</v>
      </c>
      <c r="O1250" s="981"/>
      <c r="P1250" s="772"/>
      <c r="Q1250" s="812"/>
      <c r="R1250" s="953"/>
    </row>
    <row r="1251" spans="1:18" s="440" customFormat="1" ht="57" customHeight="1">
      <c r="A1251" s="424"/>
      <c r="B1251" s="706"/>
      <c r="C1251" s="489"/>
      <c r="D1251" s="438"/>
      <c r="E1251" s="945" t="s">
        <v>467</v>
      </c>
      <c r="F1251" s="949">
        <v>117300</v>
      </c>
      <c r="G1251" s="949">
        <v>111778</v>
      </c>
      <c r="H1251" s="949">
        <v>74715.13</v>
      </c>
      <c r="I1251" s="734"/>
      <c r="J1251" s="734"/>
      <c r="K1251" s="529"/>
      <c r="L1251" s="949">
        <v>0</v>
      </c>
      <c r="M1251" s="949">
        <v>0</v>
      </c>
      <c r="N1251" s="956">
        <v>0</v>
      </c>
      <c r="O1251" s="890">
        <v>0</v>
      </c>
      <c r="P1251" s="772" t="s">
        <v>395</v>
      </c>
      <c r="Q1251" s="812"/>
      <c r="R1251" s="953"/>
    </row>
    <row r="1252" spans="1:18" s="434" customFormat="1" ht="69.75" customHeight="1">
      <c r="A1252" s="559"/>
      <c r="B1252" s="471"/>
      <c r="C1252" s="560" t="s">
        <v>59</v>
      </c>
      <c r="D1252" s="561"/>
      <c r="E1252" s="562" t="s">
        <v>268</v>
      </c>
      <c r="F1252" s="563"/>
      <c r="G1252" s="563"/>
      <c r="H1252" s="563"/>
      <c r="I1252" s="563"/>
      <c r="J1252" s="563"/>
      <c r="K1252" s="565">
        <v>430000</v>
      </c>
      <c r="L1252" s="564">
        <f t="shared" ref="L1252:L1256" si="104">SUM(F1252:K1252)</f>
        <v>430000</v>
      </c>
      <c r="M1252" s="564">
        <v>551000</v>
      </c>
      <c r="N1252" s="564">
        <v>312554.44</v>
      </c>
      <c r="O1252" s="763">
        <f>N1252/M1252</f>
        <v>0.56724943738656985</v>
      </c>
      <c r="P1252" s="765" t="s">
        <v>395</v>
      </c>
      <c r="Q1252" s="651"/>
    </row>
    <row r="1253" spans="1:18" s="434" customFormat="1" ht="69.75" customHeight="1">
      <c r="A1253" s="559"/>
      <c r="B1253" s="471"/>
      <c r="C1253" s="560" t="s">
        <v>151</v>
      </c>
      <c r="D1253" s="561"/>
      <c r="E1253" s="562" t="s">
        <v>188</v>
      </c>
      <c r="F1253" s="563"/>
      <c r="G1253" s="563"/>
      <c r="H1253" s="563"/>
      <c r="I1253" s="563"/>
      <c r="J1253" s="563"/>
      <c r="K1253" s="565">
        <v>170000</v>
      </c>
      <c r="L1253" s="564">
        <f t="shared" si="104"/>
        <v>170000</v>
      </c>
      <c r="M1253" s="564">
        <v>262000</v>
      </c>
      <c r="N1253" s="564">
        <v>144046.79999999999</v>
      </c>
      <c r="O1253" s="763">
        <f>N1253/M1253</f>
        <v>0.54979694656488542</v>
      </c>
      <c r="P1253" s="765" t="s">
        <v>395</v>
      </c>
      <c r="Q1253" s="651"/>
    </row>
    <row r="1254" spans="1:18" s="434" customFormat="1" ht="69.75" customHeight="1">
      <c r="A1254" s="559"/>
      <c r="B1254" s="471"/>
      <c r="C1254" s="560" t="s">
        <v>289</v>
      </c>
      <c r="D1254" s="561"/>
      <c r="E1254" s="562" t="s">
        <v>302</v>
      </c>
      <c r="F1254" s="563"/>
      <c r="G1254" s="563"/>
      <c r="H1254" s="563"/>
      <c r="I1254" s="563"/>
      <c r="J1254" s="563"/>
      <c r="K1254" s="565">
        <v>52000</v>
      </c>
      <c r="L1254" s="564">
        <f t="shared" si="104"/>
        <v>52000</v>
      </c>
      <c r="M1254" s="564">
        <v>106000</v>
      </c>
      <c r="N1254" s="564">
        <v>48138.47</v>
      </c>
      <c r="O1254" s="763">
        <f>N1254/M1254</f>
        <v>0.45413650943396228</v>
      </c>
      <c r="P1254" s="765" t="s">
        <v>395</v>
      </c>
      <c r="Q1254" s="651"/>
    </row>
    <row r="1255" spans="1:18" s="434" customFormat="1" ht="71.25" customHeight="1">
      <c r="A1255" s="559"/>
      <c r="B1255" s="61"/>
      <c r="C1255" s="453" t="s">
        <v>297</v>
      </c>
      <c r="D1255" s="454"/>
      <c r="E1255" s="457" t="s">
        <v>62</v>
      </c>
      <c r="F1255" s="518"/>
      <c r="G1255" s="277"/>
      <c r="H1255" s="277"/>
      <c r="I1255" s="277"/>
      <c r="J1255" s="277"/>
      <c r="K1255" s="451">
        <v>19800</v>
      </c>
      <c r="L1255" s="451">
        <f t="shared" si="104"/>
        <v>19800</v>
      </c>
      <c r="M1255" s="451">
        <v>20300</v>
      </c>
      <c r="N1255" s="451">
        <v>9950.16</v>
      </c>
      <c r="O1255" s="837">
        <f>N1255/M1255</f>
        <v>0.49015566502463054</v>
      </c>
      <c r="P1255" s="765" t="s">
        <v>395</v>
      </c>
      <c r="Q1255" s="651"/>
    </row>
    <row r="1256" spans="1:18" s="434" customFormat="1" ht="71.25" customHeight="1">
      <c r="A1256" s="559"/>
      <c r="B1256" s="61"/>
      <c r="C1256" s="453" t="s">
        <v>303</v>
      </c>
      <c r="D1256" s="454"/>
      <c r="E1256" s="457" t="s">
        <v>145</v>
      </c>
      <c r="F1256" s="518"/>
      <c r="G1256" s="277"/>
      <c r="H1256" s="277"/>
      <c r="I1256" s="277"/>
      <c r="J1256" s="277"/>
      <c r="K1256" s="451">
        <v>59400</v>
      </c>
      <c r="L1256" s="451">
        <f t="shared" si="104"/>
        <v>59400</v>
      </c>
      <c r="M1256" s="451">
        <v>59398</v>
      </c>
      <c r="N1256" s="451">
        <v>0</v>
      </c>
      <c r="O1256" s="837">
        <f>0</f>
        <v>0</v>
      </c>
      <c r="P1256" s="765" t="s">
        <v>395</v>
      </c>
      <c r="Q1256" s="651"/>
    </row>
    <row r="1257" spans="1:18" s="274" customFormat="1" ht="99" customHeight="1">
      <c r="A1257" s="429"/>
      <c r="B1257" s="75">
        <v>80150</v>
      </c>
      <c r="C1257" s="74"/>
      <c r="D1257" s="176"/>
      <c r="E1257" s="175" t="s">
        <v>286</v>
      </c>
      <c r="F1257" s="409">
        <f>F1258</f>
        <v>0</v>
      </c>
      <c r="G1257" s="92">
        <f>G1258</f>
        <v>0</v>
      </c>
      <c r="H1257" s="92">
        <f>H1258</f>
        <v>0</v>
      </c>
      <c r="I1257" s="92">
        <f>I1258</f>
        <v>0</v>
      </c>
      <c r="J1257" s="92">
        <f>J1258</f>
        <v>0</v>
      </c>
      <c r="K1257" s="92" t="e">
        <f>K1258+K1345</f>
        <v>#REF!</v>
      </c>
      <c r="L1257" s="92">
        <f>L1258+L1345</f>
        <v>865377</v>
      </c>
      <c r="M1257" s="92">
        <f t="shared" ref="M1257:N1257" si="105">M1258+M1345</f>
        <v>1057124</v>
      </c>
      <c r="N1257" s="92">
        <f t="shared" si="105"/>
        <v>409407.93999999994</v>
      </c>
      <c r="O1257" s="755">
        <f>N1257/M1257</f>
        <v>0.38728468940256766</v>
      </c>
      <c r="P1257" s="786" t="s">
        <v>395</v>
      </c>
      <c r="Q1257" s="669"/>
    </row>
    <row r="1258" spans="1:18" s="193" customFormat="1" ht="39.9" customHeight="1">
      <c r="A1258" s="487"/>
      <c r="B1258" s="173"/>
      <c r="C1258" s="190" t="s">
        <v>21</v>
      </c>
      <c r="D1258" s="189"/>
      <c r="E1258" s="188" t="s">
        <v>20</v>
      </c>
      <c r="F1258" s="187"/>
      <c r="G1258" s="187"/>
      <c r="H1258" s="187"/>
      <c r="I1258" s="187"/>
      <c r="J1258" s="187"/>
      <c r="K1258" s="432" t="e">
        <f>#REF!+K1302</f>
        <v>#REF!</v>
      </c>
      <c r="L1258" s="432">
        <f>L1259+L1302</f>
        <v>855377</v>
      </c>
      <c r="M1258" s="432">
        <f t="shared" ref="M1258:N1258" si="106">M1259+M1302</f>
        <v>907122</v>
      </c>
      <c r="N1258" s="432">
        <f t="shared" si="106"/>
        <v>363283.72</v>
      </c>
      <c r="O1258" s="819">
        <f>N1258/M1258</f>
        <v>0.40047945039366256</v>
      </c>
      <c r="P1258" s="781" t="s">
        <v>395</v>
      </c>
      <c r="Q1258" s="665"/>
    </row>
    <row r="1259" spans="1:18" s="441" customFormat="1" ht="39.9" customHeight="1">
      <c r="A1259" s="487"/>
      <c r="B1259" s="420"/>
      <c r="C1259" s="394">
        <v>1</v>
      </c>
      <c r="D1259" s="443"/>
      <c r="E1259" s="544" t="s">
        <v>221</v>
      </c>
      <c r="F1259" s="395"/>
      <c r="G1259" s="421"/>
      <c r="H1259" s="421"/>
      <c r="I1259" s="421"/>
      <c r="J1259" s="421"/>
      <c r="K1259" s="421">
        <v>11640</v>
      </c>
      <c r="L1259" s="421">
        <f>L1260+L1279+L1301</f>
        <v>213383</v>
      </c>
      <c r="M1259" s="421">
        <f t="shared" ref="M1259" si="107">M1260+M1279+M1301</f>
        <v>326144</v>
      </c>
      <c r="N1259" s="421">
        <f t="shared" ref="N1259" si="108">N1260+N1279+N1301</f>
        <v>102991.41999999998</v>
      </c>
      <c r="O1259" s="850">
        <f>N1259/M1259</f>
        <v>0.31578511332417575</v>
      </c>
      <c r="P1259" s="787" t="s">
        <v>395</v>
      </c>
      <c r="Q1259" s="670"/>
    </row>
    <row r="1260" spans="1:18" s="431" customFormat="1" ht="50.25" customHeight="1">
      <c r="A1260" s="987"/>
      <c r="B1260" s="944"/>
      <c r="C1260" s="458"/>
      <c r="D1260" s="444"/>
      <c r="E1260" s="945" t="s">
        <v>412</v>
      </c>
      <c r="F1260" s="976"/>
      <c r="G1260" s="946"/>
      <c r="H1260" s="946"/>
      <c r="I1260" s="946"/>
      <c r="J1260" s="947"/>
      <c r="K1260" s="948"/>
      <c r="L1260" s="949">
        <v>207349</v>
      </c>
      <c r="M1260" s="949">
        <v>207349</v>
      </c>
      <c r="N1260" s="977">
        <f>SUM(N1262:N1278)</f>
        <v>90394.719999999987</v>
      </c>
      <c r="O1260" s="978">
        <f>N1260/M1260</f>
        <v>0.43595445360238044</v>
      </c>
      <c r="P1260" s="780" t="s">
        <v>395</v>
      </c>
      <c r="Q1260" s="908"/>
      <c r="R1260" s="951"/>
    </row>
    <row r="1261" spans="1:18" s="440" customFormat="1" ht="34.5" customHeight="1">
      <c r="A1261" s="984"/>
      <c r="B1261" s="972"/>
      <c r="C1261" s="450"/>
      <c r="D1261" s="438"/>
      <c r="E1261" s="952" t="s">
        <v>13</v>
      </c>
      <c r="F1261" s="985"/>
      <c r="G1261" s="973"/>
      <c r="H1261" s="973"/>
      <c r="I1261" s="973"/>
      <c r="J1261" s="973"/>
      <c r="K1261" s="383"/>
      <c r="L1261" s="980"/>
      <c r="M1261" s="980"/>
      <c r="N1261" s="980"/>
      <c r="O1261" s="981"/>
      <c r="P1261" s="772"/>
      <c r="Q1261" s="812"/>
      <c r="R1261" s="953"/>
    </row>
    <row r="1262" spans="1:18" s="440" customFormat="1" ht="36" customHeight="1">
      <c r="A1262" s="984"/>
      <c r="B1262" s="972"/>
      <c r="C1262" s="450"/>
      <c r="D1262" s="425"/>
      <c r="E1262" s="954" t="s">
        <v>556</v>
      </c>
      <c r="F1262" s="985"/>
      <c r="G1262" s="973"/>
      <c r="H1262" s="973"/>
      <c r="I1262" s="973"/>
      <c r="J1262" s="973"/>
      <c r="K1262" s="383"/>
      <c r="L1262" s="955"/>
      <c r="M1262" s="955"/>
      <c r="N1262" s="983">
        <v>67257.289999999994</v>
      </c>
      <c r="O1262" s="981"/>
      <c r="P1262" s="772"/>
      <c r="Q1262" s="812"/>
      <c r="R1262" s="953"/>
    </row>
    <row r="1263" spans="1:18" s="440" customFormat="1" ht="57" customHeight="1">
      <c r="A1263" s="984"/>
      <c r="B1263" s="972"/>
      <c r="C1263" s="450"/>
      <c r="D1263" s="438"/>
      <c r="E1263" s="954" t="s">
        <v>478</v>
      </c>
      <c r="F1263" s="985"/>
      <c r="G1263" s="973"/>
      <c r="H1263" s="973"/>
      <c r="I1263" s="973"/>
      <c r="J1263" s="973"/>
      <c r="K1263" s="383"/>
      <c r="L1263" s="955"/>
      <c r="M1263" s="955"/>
      <c r="N1263" s="983">
        <v>0</v>
      </c>
      <c r="O1263" s="981"/>
      <c r="P1263" s="772"/>
      <c r="Q1263" s="812"/>
      <c r="R1263" s="953"/>
    </row>
    <row r="1264" spans="1:18" s="440" customFormat="1" ht="51.75" customHeight="1">
      <c r="A1264" s="984"/>
      <c r="B1264" s="972"/>
      <c r="C1264" s="450"/>
      <c r="D1264" s="438"/>
      <c r="E1264" s="954" t="s">
        <v>557</v>
      </c>
      <c r="F1264" s="985"/>
      <c r="G1264" s="973"/>
      <c r="H1264" s="973"/>
      <c r="I1264" s="973"/>
      <c r="J1264" s="973"/>
      <c r="K1264" s="383"/>
      <c r="L1264" s="955"/>
      <c r="M1264" s="955"/>
      <c r="N1264" s="983">
        <v>3619.06</v>
      </c>
      <c r="O1264" s="981"/>
      <c r="P1264" s="772"/>
      <c r="Q1264" s="812"/>
      <c r="R1264" s="953"/>
    </row>
    <row r="1265" spans="1:18" s="440" customFormat="1" ht="36" customHeight="1">
      <c r="A1265" s="984"/>
      <c r="B1265" s="972"/>
      <c r="C1265" s="450"/>
      <c r="D1265" s="438"/>
      <c r="E1265" s="954" t="s">
        <v>480</v>
      </c>
      <c r="F1265" s="985"/>
      <c r="G1265" s="973"/>
      <c r="H1265" s="973"/>
      <c r="I1265" s="973"/>
      <c r="J1265" s="973"/>
      <c r="K1265" s="383"/>
      <c r="L1265" s="955"/>
      <c r="M1265" s="955"/>
      <c r="N1265" s="983">
        <v>0</v>
      </c>
      <c r="O1265" s="981"/>
      <c r="P1265" s="772"/>
      <c r="Q1265" s="812"/>
      <c r="R1265" s="953"/>
    </row>
    <row r="1266" spans="1:18" s="440" customFormat="1" ht="36" customHeight="1">
      <c r="A1266" s="984"/>
      <c r="B1266" s="972"/>
      <c r="C1266" s="450"/>
      <c r="D1266" s="438"/>
      <c r="E1266" s="954" t="s">
        <v>534</v>
      </c>
      <c r="F1266" s="985"/>
      <c r="G1266" s="973"/>
      <c r="H1266" s="973"/>
      <c r="I1266" s="973"/>
      <c r="J1266" s="973"/>
      <c r="K1266" s="383"/>
      <c r="L1266" s="955"/>
      <c r="M1266" s="955"/>
      <c r="N1266" s="983">
        <v>0</v>
      </c>
      <c r="O1266" s="981"/>
      <c r="P1266" s="772"/>
      <c r="Q1266" s="812"/>
      <c r="R1266" s="953"/>
    </row>
    <row r="1267" spans="1:18" s="440" customFormat="1" ht="36" customHeight="1">
      <c r="A1267" s="984"/>
      <c r="B1267" s="972"/>
      <c r="C1267" s="450"/>
      <c r="D1267" s="438"/>
      <c r="E1267" s="954" t="s">
        <v>437</v>
      </c>
      <c r="F1267" s="985"/>
      <c r="G1267" s="973"/>
      <c r="H1267" s="973"/>
      <c r="I1267" s="973"/>
      <c r="J1267" s="973"/>
      <c r="K1267" s="383"/>
      <c r="L1267" s="955"/>
      <c r="M1267" s="955"/>
      <c r="N1267" s="983">
        <v>0</v>
      </c>
      <c r="O1267" s="981"/>
      <c r="P1267" s="772"/>
      <c r="Q1267" s="812"/>
      <c r="R1267" s="953"/>
    </row>
    <row r="1268" spans="1:18" s="440" customFormat="1" ht="36" customHeight="1">
      <c r="A1268" s="984"/>
      <c r="B1268" s="972"/>
      <c r="C1268" s="450"/>
      <c r="D1268" s="438"/>
      <c r="E1268" s="954" t="s">
        <v>438</v>
      </c>
      <c r="F1268" s="985"/>
      <c r="G1268" s="973"/>
      <c r="H1268" s="973"/>
      <c r="I1268" s="973"/>
      <c r="J1268" s="973"/>
      <c r="K1268" s="383"/>
      <c r="L1268" s="955"/>
      <c r="M1268" s="955"/>
      <c r="N1268" s="983">
        <v>0</v>
      </c>
      <c r="O1268" s="981"/>
      <c r="P1268" s="772"/>
      <c r="Q1268" s="812"/>
      <c r="R1268" s="953"/>
    </row>
    <row r="1269" spans="1:18" s="440" customFormat="1" ht="36" customHeight="1">
      <c r="A1269" s="984"/>
      <c r="B1269" s="972"/>
      <c r="C1269" s="450"/>
      <c r="D1269" s="438"/>
      <c r="E1269" s="954" t="s">
        <v>558</v>
      </c>
      <c r="F1269" s="985"/>
      <c r="G1269" s="973"/>
      <c r="H1269" s="973"/>
      <c r="I1269" s="973"/>
      <c r="J1269" s="973"/>
      <c r="K1269" s="383"/>
      <c r="L1269" s="955"/>
      <c r="M1269" s="955"/>
      <c r="N1269" s="983">
        <v>1495.15</v>
      </c>
      <c r="O1269" s="981"/>
      <c r="P1269" s="772"/>
      <c r="Q1269" s="812"/>
      <c r="R1269" s="953"/>
    </row>
    <row r="1270" spans="1:18" s="440" customFormat="1" ht="36" customHeight="1">
      <c r="A1270" s="984"/>
      <c r="B1270" s="972"/>
      <c r="C1270" s="450"/>
      <c r="D1270" s="438"/>
      <c r="E1270" s="954" t="s">
        <v>439</v>
      </c>
      <c r="F1270" s="985"/>
      <c r="G1270" s="973"/>
      <c r="H1270" s="973"/>
      <c r="I1270" s="973"/>
      <c r="J1270" s="973"/>
      <c r="K1270" s="383"/>
      <c r="L1270" s="955"/>
      <c r="M1270" s="955"/>
      <c r="N1270" s="983">
        <v>0</v>
      </c>
      <c r="O1270" s="981"/>
      <c r="P1270" s="772"/>
      <c r="Q1270" s="812"/>
      <c r="R1270" s="953"/>
    </row>
    <row r="1271" spans="1:18" s="440" customFormat="1" ht="36" customHeight="1">
      <c r="A1271" s="984"/>
      <c r="B1271" s="972"/>
      <c r="C1271" s="450"/>
      <c r="D1271" s="438"/>
      <c r="E1271" s="954" t="s">
        <v>440</v>
      </c>
      <c r="F1271" s="985"/>
      <c r="G1271" s="973"/>
      <c r="H1271" s="973"/>
      <c r="I1271" s="973"/>
      <c r="J1271" s="973"/>
      <c r="K1271" s="383"/>
      <c r="L1271" s="955"/>
      <c r="M1271" s="955"/>
      <c r="N1271" s="983">
        <v>0</v>
      </c>
      <c r="O1271" s="981"/>
      <c r="P1271" s="772"/>
      <c r="Q1271" s="812"/>
      <c r="R1271" s="953"/>
    </row>
    <row r="1272" spans="1:18" s="440" customFormat="1" ht="36" customHeight="1">
      <c r="A1272" s="984"/>
      <c r="B1272" s="972"/>
      <c r="C1272" s="450"/>
      <c r="D1272" s="438"/>
      <c r="E1272" s="954" t="s">
        <v>559</v>
      </c>
      <c r="F1272" s="985"/>
      <c r="G1272" s="973"/>
      <c r="H1272" s="973"/>
      <c r="I1272" s="973"/>
      <c r="J1272" s="973"/>
      <c r="K1272" s="383"/>
      <c r="L1272" s="955"/>
      <c r="M1272" s="955"/>
      <c r="N1272" s="983">
        <v>2741.52</v>
      </c>
      <c r="O1272" s="981"/>
      <c r="P1272" s="772"/>
      <c r="Q1272" s="812"/>
      <c r="R1272" s="953"/>
    </row>
    <row r="1273" spans="1:18" s="440" customFormat="1" ht="43.5" customHeight="1">
      <c r="A1273" s="984"/>
      <c r="B1273" s="972"/>
      <c r="C1273" s="450"/>
      <c r="D1273" s="438"/>
      <c r="E1273" s="954" t="s">
        <v>555</v>
      </c>
      <c r="F1273" s="985"/>
      <c r="G1273" s="973"/>
      <c r="H1273" s="973"/>
      <c r="I1273" s="973"/>
      <c r="J1273" s="973"/>
      <c r="K1273" s="383"/>
      <c r="L1273" s="955"/>
      <c r="M1273" s="955"/>
      <c r="N1273" s="983">
        <v>0</v>
      </c>
      <c r="O1273" s="981"/>
      <c r="P1273" s="772"/>
      <c r="Q1273" s="812"/>
      <c r="R1273" s="953"/>
    </row>
    <row r="1274" spans="1:18" s="440" customFormat="1" ht="36" customHeight="1">
      <c r="A1274" s="984"/>
      <c r="B1274" s="972"/>
      <c r="C1274" s="450"/>
      <c r="D1274" s="438"/>
      <c r="E1274" s="954" t="s">
        <v>442</v>
      </c>
      <c r="F1274" s="985"/>
      <c r="G1274" s="973"/>
      <c r="H1274" s="973"/>
      <c r="I1274" s="973"/>
      <c r="J1274" s="973"/>
      <c r="K1274" s="383"/>
      <c r="L1274" s="955"/>
      <c r="M1274" s="955"/>
      <c r="N1274" s="983">
        <v>0</v>
      </c>
      <c r="O1274" s="981"/>
      <c r="P1274" s="772"/>
      <c r="Q1274" s="812"/>
      <c r="R1274" s="953"/>
    </row>
    <row r="1275" spans="1:18" s="440" customFormat="1" ht="36" customHeight="1">
      <c r="A1275" s="984"/>
      <c r="B1275" s="972"/>
      <c r="C1275" s="450"/>
      <c r="D1275" s="438"/>
      <c r="E1275" s="954" t="s">
        <v>443</v>
      </c>
      <c r="F1275" s="985"/>
      <c r="G1275" s="973"/>
      <c r="H1275" s="973"/>
      <c r="I1275" s="973"/>
      <c r="J1275" s="973"/>
      <c r="K1275" s="383"/>
      <c r="L1275" s="955"/>
      <c r="M1275" s="955"/>
      <c r="N1275" s="983">
        <v>2576.14</v>
      </c>
      <c r="O1275" s="981"/>
      <c r="P1275" s="772"/>
      <c r="Q1275" s="812"/>
      <c r="R1275" s="953"/>
    </row>
    <row r="1276" spans="1:18" s="440" customFormat="1" ht="36" customHeight="1">
      <c r="A1276" s="984"/>
      <c r="B1276" s="972"/>
      <c r="C1276" s="450"/>
      <c r="D1276" s="438"/>
      <c r="E1276" s="954" t="s">
        <v>482</v>
      </c>
      <c r="F1276" s="985"/>
      <c r="G1276" s="973"/>
      <c r="H1276" s="973"/>
      <c r="I1276" s="973"/>
      <c r="J1276" s="973"/>
      <c r="K1276" s="383"/>
      <c r="L1276" s="955"/>
      <c r="M1276" s="955"/>
      <c r="N1276" s="983">
        <v>0</v>
      </c>
      <c r="O1276" s="981"/>
      <c r="P1276" s="772"/>
      <c r="Q1276" s="812"/>
      <c r="R1276" s="953"/>
    </row>
    <row r="1277" spans="1:18" s="440" customFormat="1" ht="36" customHeight="1">
      <c r="A1277" s="984"/>
      <c r="B1277" s="972"/>
      <c r="C1277" s="450"/>
      <c r="D1277" s="438"/>
      <c r="E1277" s="954" t="s">
        <v>445</v>
      </c>
      <c r="F1277" s="985"/>
      <c r="G1277" s="973"/>
      <c r="H1277" s="973"/>
      <c r="I1277" s="973"/>
      <c r="J1277" s="973"/>
      <c r="K1277" s="383"/>
      <c r="L1277" s="955"/>
      <c r="M1277" s="955"/>
      <c r="N1277" s="983">
        <v>0</v>
      </c>
      <c r="O1277" s="981"/>
      <c r="P1277" s="772"/>
      <c r="Q1277" s="812"/>
      <c r="R1277" s="953"/>
    </row>
    <row r="1278" spans="1:18" s="440" customFormat="1" ht="36" customHeight="1">
      <c r="A1278" s="984"/>
      <c r="B1278" s="972"/>
      <c r="C1278" s="450"/>
      <c r="D1278" s="438"/>
      <c r="E1278" s="954" t="s">
        <v>446</v>
      </c>
      <c r="F1278" s="985"/>
      <c r="G1278" s="973"/>
      <c r="H1278" s="973"/>
      <c r="I1278" s="973"/>
      <c r="J1278" s="973"/>
      <c r="K1278" s="383"/>
      <c r="L1278" s="955"/>
      <c r="M1278" s="955"/>
      <c r="N1278" s="983">
        <v>12705.56</v>
      </c>
      <c r="O1278" s="981"/>
      <c r="P1278" s="772"/>
      <c r="Q1278" s="812"/>
      <c r="R1278" s="953"/>
    </row>
    <row r="1279" spans="1:18" s="440" customFormat="1" ht="58.5" customHeight="1">
      <c r="A1279" s="984"/>
      <c r="B1279" s="972"/>
      <c r="C1279" s="986"/>
      <c r="D1279" s="438"/>
      <c r="E1279" s="945" t="s">
        <v>418</v>
      </c>
      <c r="F1279" s="949">
        <v>117300</v>
      </c>
      <c r="G1279" s="949">
        <v>111778</v>
      </c>
      <c r="H1279" s="949">
        <v>74715.13</v>
      </c>
      <c r="I1279" s="973"/>
      <c r="J1279" s="973"/>
      <c r="K1279" s="529"/>
      <c r="L1279" s="949">
        <v>6034</v>
      </c>
      <c r="M1279" s="949">
        <v>118795</v>
      </c>
      <c r="N1279" s="977">
        <f>SUM(N1280:N1300)</f>
        <v>12596.7</v>
      </c>
      <c r="O1279" s="978">
        <f>N1279/M1279</f>
        <v>0.10603729113178165</v>
      </c>
      <c r="P1279" s="772" t="s">
        <v>395</v>
      </c>
      <c r="Q1279" s="812"/>
      <c r="R1279" s="953"/>
    </row>
    <row r="1280" spans="1:18" s="440" customFormat="1" ht="83.25" customHeight="1">
      <c r="A1280" s="984"/>
      <c r="B1280" s="972"/>
      <c r="C1280" s="986"/>
      <c r="D1280" s="438"/>
      <c r="E1280" s="957" t="s">
        <v>447</v>
      </c>
      <c r="F1280" s="958"/>
      <c r="G1280" s="958"/>
      <c r="H1280" s="958">
        <v>0</v>
      </c>
      <c r="I1280" s="973"/>
      <c r="J1280" s="973"/>
      <c r="K1280" s="529"/>
      <c r="L1280" s="958"/>
      <c r="M1280" s="958"/>
      <c r="N1280" s="983">
        <v>0</v>
      </c>
      <c r="O1280" s="981"/>
      <c r="P1280" s="772"/>
      <c r="Q1280" s="812"/>
      <c r="R1280" s="953"/>
    </row>
    <row r="1281" spans="1:18" s="440" customFormat="1" ht="36" customHeight="1">
      <c r="A1281" s="984"/>
      <c r="B1281" s="972"/>
      <c r="C1281" s="986"/>
      <c r="D1281" s="438"/>
      <c r="E1281" s="957" t="s">
        <v>448</v>
      </c>
      <c r="F1281" s="958"/>
      <c r="G1281" s="958"/>
      <c r="H1281" s="958">
        <v>0</v>
      </c>
      <c r="I1281" s="973"/>
      <c r="J1281" s="973"/>
      <c r="K1281" s="529"/>
      <c r="L1281" s="958"/>
      <c r="M1281" s="958"/>
      <c r="N1281" s="983">
        <v>0</v>
      </c>
      <c r="O1281" s="981"/>
      <c r="P1281" s="772"/>
      <c r="Q1281" s="812"/>
      <c r="R1281" s="953"/>
    </row>
    <row r="1282" spans="1:18" s="440" customFormat="1" ht="36" customHeight="1">
      <c r="A1282" s="984"/>
      <c r="B1282" s="972"/>
      <c r="C1282" s="986"/>
      <c r="D1282" s="438"/>
      <c r="E1282" s="957" t="s">
        <v>449</v>
      </c>
      <c r="F1282" s="958"/>
      <c r="G1282" s="958"/>
      <c r="H1282" s="958">
        <v>0</v>
      </c>
      <c r="I1282" s="973"/>
      <c r="J1282" s="973"/>
      <c r="K1282" s="529"/>
      <c r="L1282" s="958"/>
      <c r="M1282" s="958"/>
      <c r="N1282" s="983">
        <v>0</v>
      </c>
      <c r="O1282" s="981"/>
      <c r="P1282" s="772"/>
      <c r="Q1282" s="812"/>
      <c r="R1282" s="953"/>
    </row>
    <row r="1283" spans="1:18" s="440" customFormat="1" ht="36" customHeight="1">
      <c r="A1283" s="984"/>
      <c r="B1283" s="972"/>
      <c r="C1283" s="986"/>
      <c r="D1283" s="438"/>
      <c r="E1283" s="957" t="s">
        <v>450</v>
      </c>
      <c r="F1283" s="958"/>
      <c r="G1283" s="958"/>
      <c r="H1283" s="958">
        <v>0</v>
      </c>
      <c r="I1283" s="973"/>
      <c r="J1283" s="973"/>
      <c r="K1283" s="529"/>
      <c r="L1283" s="958"/>
      <c r="M1283" s="958"/>
      <c r="N1283" s="983">
        <v>0</v>
      </c>
      <c r="O1283" s="981"/>
      <c r="P1283" s="772"/>
      <c r="Q1283" s="812"/>
      <c r="R1283" s="953"/>
    </row>
    <row r="1284" spans="1:18" s="440" customFormat="1" ht="36" customHeight="1">
      <c r="A1284" s="984"/>
      <c r="B1284" s="972"/>
      <c r="C1284" s="986"/>
      <c r="D1284" s="438"/>
      <c r="E1284" s="957" t="s">
        <v>451</v>
      </c>
      <c r="F1284" s="958"/>
      <c r="G1284" s="958"/>
      <c r="H1284" s="958">
        <v>0</v>
      </c>
      <c r="I1284" s="973"/>
      <c r="J1284" s="973"/>
      <c r="K1284" s="529"/>
      <c r="L1284" s="958"/>
      <c r="M1284" s="958"/>
      <c r="N1284" s="983">
        <v>0</v>
      </c>
      <c r="O1284" s="981"/>
      <c r="P1284" s="772"/>
      <c r="Q1284" s="812"/>
      <c r="R1284" s="953"/>
    </row>
    <row r="1285" spans="1:18" s="440" customFormat="1" ht="47.25" customHeight="1">
      <c r="A1285" s="984"/>
      <c r="B1285" s="972"/>
      <c r="C1285" s="986"/>
      <c r="D1285" s="438"/>
      <c r="E1285" s="960" t="s">
        <v>486</v>
      </c>
      <c r="F1285" s="958"/>
      <c r="G1285" s="958"/>
      <c r="H1285" s="958">
        <v>4300</v>
      </c>
      <c r="I1285" s="973"/>
      <c r="J1285" s="973"/>
      <c r="K1285" s="529"/>
      <c r="L1285" s="958"/>
      <c r="M1285" s="958"/>
      <c r="N1285" s="983">
        <v>0</v>
      </c>
      <c r="O1285" s="981"/>
      <c r="P1285" s="772"/>
      <c r="Q1285" s="812"/>
      <c r="R1285" s="953"/>
    </row>
    <row r="1286" spans="1:18" s="440" customFormat="1" ht="84" customHeight="1">
      <c r="A1286" s="984"/>
      <c r="B1286" s="972"/>
      <c r="C1286" s="986"/>
      <c r="D1286" s="438"/>
      <c r="E1286" s="957" t="s">
        <v>452</v>
      </c>
      <c r="F1286" s="958"/>
      <c r="G1286" s="958"/>
      <c r="H1286" s="958">
        <v>0</v>
      </c>
      <c r="I1286" s="973"/>
      <c r="J1286" s="973"/>
      <c r="K1286" s="529"/>
      <c r="L1286" s="958"/>
      <c r="M1286" s="958"/>
      <c r="N1286" s="983">
        <v>7361.9</v>
      </c>
      <c r="O1286" s="981"/>
      <c r="P1286" s="772"/>
      <c r="Q1286" s="812"/>
      <c r="R1286" s="953"/>
    </row>
    <row r="1287" spans="1:18" s="440" customFormat="1" ht="54.75" customHeight="1">
      <c r="A1287" s="984"/>
      <c r="B1287" s="972"/>
      <c r="C1287" s="986"/>
      <c r="D1287" s="438"/>
      <c r="E1287" s="957" t="s">
        <v>453</v>
      </c>
      <c r="F1287" s="958"/>
      <c r="G1287" s="958"/>
      <c r="H1287" s="958">
        <v>0</v>
      </c>
      <c r="I1287" s="973"/>
      <c r="J1287" s="973"/>
      <c r="K1287" s="529"/>
      <c r="L1287" s="958"/>
      <c r="M1287" s="958"/>
      <c r="N1287" s="983">
        <v>779.8</v>
      </c>
      <c r="O1287" s="981"/>
      <c r="P1287" s="772"/>
      <c r="Q1287" s="812"/>
      <c r="R1287" s="953"/>
    </row>
    <row r="1288" spans="1:18" s="440" customFormat="1" ht="36" customHeight="1">
      <c r="A1288" s="984"/>
      <c r="B1288" s="972"/>
      <c r="C1288" s="986"/>
      <c r="D1288" s="438"/>
      <c r="E1288" s="957" t="s">
        <v>454</v>
      </c>
      <c r="F1288" s="958"/>
      <c r="G1288" s="958"/>
      <c r="H1288" s="958">
        <v>0</v>
      </c>
      <c r="I1288" s="973"/>
      <c r="J1288" s="973"/>
      <c r="K1288" s="529"/>
      <c r="L1288" s="958"/>
      <c r="M1288" s="958"/>
      <c r="N1288" s="983">
        <v>0</v>
      </c>
      <c r="O1288" s="981"/>
      <c r="P1288" s="772"/>
      <c r="Q1288" s="812"/>
      <c r="R1288" s="953"/>
    </row>
    <row r="1289" spans="1:18" s="440" customFormat="1" ht="54.75" customHeight="1">
      <c r="A1289" s="984"/>
      <c r="B1289" s="972"/>
      <c r="C1289" s="986"/>
      <c r="D1289" s="438"/>
      <c r="E1289" s="957" t="s">
        <v>455</v>
      </c>
      <c r="F1289" s="958"/>
      <c r="G1289" s="958"/>
      <c r="H1289" s="958">
        <v>0</v>
      </c>
      <c r="I1289" s="973"/>
      <c r="J1289" s="973"/>
      <c r="K1289" s="529"/>
      <c r="L1289" s="958"/>
      <c r="M1289" s="958"/>
      <c r="N1289" s="983">
        <v>0</v>
      </c>
      <c r="O1289" s="981"/>
      <c r="P1289" s="772"/>
      <c r="Q1289" s="812"/>
      <c r="R1289" s="953"/>
    </row>
    <row r="1290" spans="1:18" s="440" customFormat="1" ht="36" customHeight="1">
      <c r="A1290" s="984"/>
      <c r="B1290" s="972"/>
      <c r="C1290" s="986"/>
      <c r="D1290" s="438"/>
      <c r="E1290" s="957" t="s">
        <v>456</v>
      </c>
      <c r="F1290" s="958"/>
      <c r="G1290" s="958"/>
      <c r="H1290" s="958">
        <v>0</v>
      </c>
      <c r="I1290" s="973"/>
      <c r="J1290" s="973"/>
      <c r="K1290" s="529"/>
      <c r="L1290" s="958"/>
      <c r="M1290" s="958"/>
      <c r="N1290" s="983">
        <v>0</v>
      </c>
      <c r="O1290" s="981"/>
      <c r="P1290" s="772"/>
      <c r="Q1290" s="812"/>
      <c r="R1290" s="953"/>
    </row>
    <row r="1291" spans="1:18" s="440" customFormat="1" ht="54.75" customHeight="1">
      <c r="A1291" s="984"/>
      <c r="B1291" s="972"/>
      <c r="C1291" s="986"/>
      <c r="D1291" s="438"/>
      <c r="E1291" s="957" t="s">
        <v>457</v>
      </c>
      <c r="F1291" s="958"/>
      <c r="G1291" s="958"/>
      <c r="H1291" s="958">
        <v>0</v>
      </c>
      <c r="I1291" s="973"/>
      <c r="J1291" s="973"/>
      <c r="K1291" s="529"/>
      <c r="L1291" s="958"/>
      <c r="M1291" s="958"/>
      <c r="N1291" s="983">
        <v>0</v>
      </c>
      <c r="O1291" s="981"/>
      <c r="P1291" s="772"/>
      <c r="Q1291" s="812"/>
      <c r="R1291" s="953"/>
    </row>
    <row r="1292" spans="1:18" s="440" customFormat="1" ht="36" customHeight="1">
      <c r="A1292" s="984"/>
      <c r="B1292" s="972"/>
      <c r="C1292" s="986"/>
      <c r="D1292" s="438"/>
      <c r="E1292" s="957" t="s">
        <v>458</v>
      </c>
      <c r="F1292" s="961"/>
      <c r="G1292" s="961"/>
      <c r="H1292" s="958">
        <v>32231.32</v>
      </c>
      <c r="I1292" s="973"/>
      <c r="J1292" s="973"/>
      <c r="K1292" s="529"/>
      <c r="L1292" s="961"/>
      <c r="M1292" s="961"/>
      <c r="N1292" s="983">
        <v>0</v>
      </c>
      <c r="O1292" s="981"/>
      <c r="P1292" s="772"/>
      <c r="Q1292" s="812"/>
      <c r="R1292" s="953"/>
    </row>
    <row r="1293" spans="1:18" s="440" customFormat="1" ht="36" customHeight="1">
      <c r="A1293" s="984"/>
      <c r="B1293" s="972"/>
      <c r="C1293" s="986"/>
      <c r="D1293" s="438"/>
      <c r="E1293" s="957" t="s">
        <v>459</v>
      </c>
      <c r="F1293" s="961"/>
      <c r="G1293" s="961"/>
      <c r="H1293" s="958">
        <v>0</v>
      </c>
      <c r="I1293" s="973"/>
      <c r="J1293" s="973"/>
      <c r="K1293" s="529"/>
      <c r="L1293" s="961"/>
      <c r="M1293" s="961"/>
      <c r="N1293" s="983">
        <v>0</v>
      </c>
      <c r="O1293" s="981"/>
      <c r="P1293" s="772"/>
      <c r="Q1293" s="812"/>
      <c r="R1293" s="953"/>
    </row>
    <row r="1294" spans="1:18" s="440" customFormat="1" ht="36" customHeight="1">
      <c r="A1294" s="984"/>
      <c r="B1294" s="972"/>
      <c r="C1294" s="986"/>
      <c r="D1294" s="438"/>
      <c r="E1294" s="957" t="s">
        <v>460</v>
      </c>
      <c r="F1294" s="961"/>
      <c r="G1294" s="961"/>
      <c r="H1294" s="958">
        <v>692</v>
      </c>
      <c r="I1294" s="973"/>
      <c r="J1294" s="973"/>
      <c r="K1294" s="529"/>
      <c r="L1294" s="961"/>
      <c r="M1294" s="961"/>
      <c r="N1294" s="983">
        <v>0</v>
      </c>
      <c r="O1294" s="981"/>
      <c r="P1294" s="772"/>
      <c r="Q1294" s="812"/>
      <c r="R1294" s="953"/>
    </row>
    <row r="1295" spans="1:18" s="440" customFormat="1" ht="36" customHeight="1">
      <c r="A1295" s="984"/>
      <c r="B1295" s="972"/>
      <c r="C1295" s="986"/>
      <c r="D1295" s="438"/>
      <c r="E1295" s="957" t="s">
        <v>461</v>
      </c>
      <c r="F1295" s="961"/>
      <c r="G1295" s="961"/>
      <c r="H1295" s="958">
        <v>35817</v>
      </c>
      <c r="I1295" s="973"/>
      <c r="J1295" s="973"/>
      <c r="K1295" s="529"/>
      <c r="L1295" s="961"/>
      <c r="M1295" s="961"/>
      <c r="N1295" s="983">
        <v>4455</v>
      </c>
      <c r="O1295" s="981"/>
      <c r="P1295" s="772"/>
      <c r="Q1295" s="812"/>
      <c r="R1295" s="953"/>
    </row>
    <row r="1296" spans="1:18" s="440" customFormat="1" ht="36" customHeight="1">
      <c r="A1296" s="984"/>
      <c r="B1296" s="972"/>
      <c r="C1296" s="986"/>
      <c r="D1296" s="438"/>
      <c r="E1296" s="957" t="s">
        <v>462</v>
      </c>
      <c r="F1296" s="961"/>
      <c r="G1296" s="961"/>
      <c r="H1296" s="958">
        <v>0</v>
      </c>
      <c r="I1296" s="973"/>
      <c r="J1296" s="973"/>
      <c r="K1296" s="529"/>
      <c r="L1296" s="961"/>
      <c r="M1296" s="961"/>
      <c r="N1296" s="983">
        <v>0</v>
      </c>
      <c r="O1296" s="981"/>
      <c r="P1296" s="772"/>
      <c r="Q1296" s="812"/>
      <c r="R1296" s="953"/>
    </row>
    <row r="1297" spans="1:18" s="440" customFormat="1" ht="61.5" customHeight="1">
      <c r="A1297" s="984"/>
      <c r="B1297" s="972"/>
      <c r="C1297" s="986"/>
      <c r="D1297" s="438"/>
      <c r="E1297" s="957" t="s">
        <v>463</v>
      </c>
      <c r="F1297" s="961"/>
      <c r="G1297" s="961"/>
      <c r="H1297" s="958">
        <v>0</v>
      </c>
      <c r="I1297" s="973"/>
      <c r="J1297" s="973"/>
      <c r="K1297" s="529"/>
      <c r="L1297" s="961"/>
      <c r="M1297" s="961"/>
      <c r="N1297" s="983">
        <v>0</v>
      </c>
      <c r="O1297" s="981"/>
      <c r="P1297" s="772"/>
      <c r="Q1297" s="812"/>
      <c r="R1297" s="953"/>
    </row>
    <row r="1298" spans="1:18" s="440" customFormat="1" ht="36" customHeight="1">
      <c r="A1298" s="984"/>
      <c r="B1298" s="972"/>
      <c r="C1298" s="986"/>
      <c r="D1298" s="438"/>
      <c r="E1298" s="957" t="s">
        <v>464</v>
      </c>
      <c r="F1298" s="961"/>
      <c r="G1298" s="961"/>
      <c r="H1298" s="958">
        <v>0</v>
      </c>
      <c r="I1298" s="973"/>
      <c r="J1298" s="973"/>
      <c r="K1298" s="529"/>
      <c r="L1298" s="961"/>
      <c r="M1298" s="961"/>
      <c r="N1298" s="983">
        <v>0</v>
      </c>
      <c r="O1298" s="981"/>
      <c r="P1298" s="772"/>
      <c r="Q1298" s="812"/>
      <c r="R1298" s="953"/>
    </row>
    <row r="1299" spans="1:18" s="440" customFormat="1" ht="36" customHeight="1">
      <c r="A1299" s="984"/>
      <c r="B1299" s="972"/>
      <c r="C1299" s="986"/>
      <c r="D1299" s="438"/>
      <c r="E1299" s="957" t="s">
        <v>465</v>
      </c>
      <c r="F1299" s="961"/>
      <c r="G1299" s="961"/>
      <c r="H1299" s="958">
        <v>0</v>
      </c>
      <c r="I1299" s="973"/>
      <c r="J1299" s="973"/>
      <c r="K1299" s="529"/>
      <c r="L1299" s="961"/>
      <c r="M1299" s="961"/>
      <c r="N1299" s="983">
        <v>0</v>
      </c>
      <c r="O1299" s="981"/>
      <c r="P1299" s="772"/>
      <c r="Q1299" s="812"/>
      <c r="R1299" s="953"/>
    </row>
    <row r="1300" spans="1:18" s="440" customFormat="1" ht="36" customHeight="1">
      <c r="A1300" s="984"/>
      <c r="B1300" s="972"/>
      <c r="C1300" s="986"/>
      <c r="D1300" s="438"/>
      <c r="E1300" s="957" t="s">
        <v>466</v>
      </c>
      <c r="F1300" s="961"/>
      <c r="G1300" s="961"/>
      <c r="H1300" s="958">
        <v>1674.81</v>
      </c>
      <c r="I1300" s="973"/>
      <c r="J1300" s="973"/>
      <c r="K1300" s="529"/>
      <c r="L1300" s="961"/>
      <c r="M1300" s="961"/>
      <c r="N1300" s="983">
        <v>0</v>
      </c>
      <c r="O1300" s="981"/>
      <c r="P1300" s="772"/>
      <c r="Q1300" s="812"/>
      <c r="R1300" s="953"/>
    </row>
    <row r="1301" spans="1:18" s="440" customFormat="1" ht="57" customHeight="1">
      <c r="A1301" s="984"/>
      <c r="B1301" s="972"/>
      <c r="C1301" s="986"/>
      <c r="D1301" s="438"/>
      <c r="E1301" s="945" t="s">
        <v>467</v>
      </c>
      <c r="F1301" s="949">
        <v>117300</v>
      </c>
      <c r="G1301" s="949">
        <v>111778</v>
      </c>
      <c r="H1301" s="949">
        <v>74715.13</v>
      </c>
      <c r="I1301" s="973"/>
      <c r="J1301" s="973"/>
      <c r="K1301" s="529"/>
      <c r="L1301" s="949">
        <v>0</v>
      </c>
      <c r="M1301" s="949">
        <v>0</v>
      </c>
      <c r="N1301" s="949">
        <v>0</v>
      </c>
      <c r="O1301" s="978">
        <v>0</v>
      </c>
      <c r="P1301" s="772" t="s">
        <v>395</v>
      </c>
      <c r="Q1301" s="812"/>
      <c r="R1301" s="953"/>
    </row>
    <row r="1302" spans="1:18" s="441" customFormat="1" ht="39.9" customHeight="1">
      <c r="A1302" s="487"/>
      <c r="B1302" s="173"/>
      <c r="C1302" s="453">
        <v>2</v>
      </c>
      <c r="D1302" s="179"/>
      <c r="E1302" s="461" t="s">
        <v>284</v>
      </c>
      <c r="F1302" s="254"/>
      <c r="G1302" s="455"/>
      <c r="H1302" s="455"/>
      <c r="I1302" s="455"/>
      <c r="J1302" s="455"/>
      <c r="K1302" s="455">
        <f>657960-15966</f>
        <v>641994</v>
      </c>
      <c r="L1302" s="455">
        <f>L1303+L1322+L1344</f>
        <v>641994</v>
      </c>
      <c r="M1302" s="455">
        <f t="shared" ref="M1302:N1302" si="109">M1303+M1322+M1344</f>
        <v>580978</v>
      </c>
      <c r="N1302" s="455">
        <f t="shared" si="109"/>
        <v>260292.3</v>
      </c>
      <c r="O1302" s="878">
        <f>N1302/M1302</f>
        <v>0.44802436581075356</v>
      </c>
      <c r="P1302" s="787" t="s">
        <v>395</v>
      </c>
      <c r="Q1302" s="670"/>
    </row>
    <row r="1303" spans="1:18" s="431" customFormat="1" ht="39.9" customHeight="1">
      <c r="A1303" s="987"/>
      <c r="B1303" s="944"/>
      <c r="C1303" s="458"/>
      <c r="D1303" s="444"/>
      <c r="E1303" s="945" t="s">
        <v>412</v>
      </c>
      <c r="F1303" s="976"/>
      <c r="G1303" s="946"/>
      <c r="H1303" s="946"/>
      <c r="I1303" s="946"/>
      <c r="J1303" s="947"/>
      <c r="K1303" s="948"/>
      <c r="L1303" s="949">
        <v>575479</v>
      </c>
      <c r="M1303" s="949">
        <v>514463</v>
      </c>
      <c r="N1303" s="977">
        <f>SUM(N1305:N1321)</f>
        <v>229291.1</v>
      </c>
      <c r="O1303" s="978">
        <f>N1303/M1303</f>
        <v>0.44569016625102292</v>
      </c>
      <c r="P1303" s="780" t="s">
        <v>395</v>
      </c>
      <c r="Q1303" s="908"/>
      <c r="R1303" s="951"/>
    </row>
    <row r="1304" spans="1:18" s="440" customFormat="1" ht="34.5" customHeight="1">
      <c r="A1304" s="984"/>
      <c r="B1304" s="972"/>
      <c r="C1304" s="450"/>
      <c r="D1304" s="438"/>
      <c r="E1304" s="952" t="s">
        <v>13</v>
      </c>
      <c r="F1304" s="985"/>
      <c r="G1304" s="973"/>
      <c r="H1304" s="973"/>
      <c r="I1304" s="973"/>
      <c r="J1304" s="973"/>
      <c r="K1304" s="383"/>
      <c r="L1304" s="980"/>
      <c r="M1304" s="980"/>
      <c r="N1304" s="980"/>
      <c r="O1304" s="981"/>
      <c r="P1304" s="772"/>
      <c r="Q1304" s="812"/>
      <c r="R1304" s="953"/>
    </row>
    <row r="1305" spans="1:18" s="440" customFormat="1" ht="40.799999999999997" customHeight="1">
      <c r="A1305" s="984"/>
      <c r="B1305" s="972"/>
      <c r="C1305" s="450"/>
      <c r="D1305" s="425"/>
      <c r="E1305" s="954" t="s">
        <v>592</v>
      </c>
      <c r="F1305" s="985"/>
      <c r="G1305" s="973"/>
      <c r="H1305" s="973"/>
      <c r="I1305" s="973"/>
      <c r="J1305" s="973"/>
      <c r="K1305" s="383"/>
      <c r="L1305" s="955"/>
      <c r="M1305" s="955"/>
      <c r="N1305" s="983">
        <v>135721.54999999999</v>
      </c>
      <c r="O1305" s="981"/>
      <c r="P1305" s="772"/>
      <c r="Q1305" s="812"/>
      <c r="R1305" s="953"/>
    </row>
    <row r="1306" spans="1:18" s="440" customFormat="1" ht="65.400000000000006" customHeight="1">
      <c r="A1306" s="984"/>
      <c r="B1306" s="972"/>
      <c r="C1306" s="450"/>
      <c r="D1306" s="438"/>
      <c r="E1306" s="954" t="s">
        <v>478</v>
      </c>
      <c r="F1306" s="985"/>
      <c r="G1306" s="973"/>
      <c r="H1306" s="973"/>
      <c r="I1306" s="973"/>
      <c r="J1306" s="973"/>
      <c r="K1306" s="383"/>
      <c r="L1306" s="955"/>
      <c r="M1306" s="955"/>
      <c r="N1306" s="983">
        <v>0</v>
      </c>
      <c r="O1306" s="981"/>
      <c r="P1306" s="772"/>
      <c r="Q1306" s="812"/>
      <c r="R1306" s="953"/>
    </row>
    <row r="1307" spans="1:18" s="440" customFormat="1" ht="45.6" customHeight="1">
      <c r="A1307" s="984"/>
      <c r="B1307" s="972"/>
      <c r="C1307" s="450"/>
      <c r="D1307" s="438"/>
      <c r="E1307" s="954" t="s">
        <v>435</v>
      </c>
      <c r="F1307" s="985"/>
      <c r="G1307" s="973"/>
      <c r="H1307" s="973"/>
      <c r="I1307" s="973"/>
      <c r="J1307" s="973"/>
      <c r="K1307" s="383"/>
      <c r="L1307" s="955"/>
      <c r="M1307" s="955"/>
      <c r="N1307" s="983">
        <v>0</v>
      </c>
      <c r="O1307" s="981"/>
      <c r="P1307" s="772"/>
      <c r="Q1307" s="812"/>
      <c r="R1307" s="953"/>
    </row>
    <row r="1308" spans="1:18" s="440" customFormat="1" ht="36" customHeight="1">
      <c r="A1308" s="984"/>
      <c r="B1308" s="972"/>
      <c r="C1308" s="450"/>
      <c r="D1308" s="438"/>
      <c r="E1308" s="954" t="s">
        <v>480</v>
      </c>
      <c r="F1308" s="985"/>
      <c r="G1308" s="973"/>
      <c r="H1308" s="973"/>
      <c r="I1308" s="973"/>
      <c r="J1308" s="973"/>
      <c r="K1308" s="383"/>
      <c r="L1308" s="955"/>
      <c r="M1308" s="955"/>
      <c r="N1308" s="983">
        <v>0</v>
      </c>
      <c r="O1308" s="981"/>
      <c r="P1308" s="772"/>
      <c r="Q1308" s="812"/>
      <c r="R1308" s="953"/>
    </row>
    <row r="1309" spans="1:18" s="440" customFormat="1" ht="36" customHeight="1">
      <c r="A1309" s="984"/>
      <c r="B1309" s="972"/>
      <c r="C1309" s="450"/>
      <c r="D1309" s="438"/>
      <c r="E1309" s="954" t="s">
        <v>436</v>
      </c>
      <c r="F1309" s="985"/>
      <c r="G1309" s="973"/>
      <c r="H1309" s="973"/>
      <c r="I1309" s="973"/>
      <c r="J1309" s="973"/>
      <c r="K1309" s="383"/>
      <c r="L1309" s="955"/>
      <c r="M1309" s="955"/>
      <c r="N1309" s="983">
        <v>0</v>
      </c>
      <c r="O1309" s="981"/>
      <c r="P1309" s="772"/>
      <c r="Q1309" s="812"/>
      <c r="R1309" s="953"/>
    </row>
    <row r="1310" spans="1:18" s="440" customFormat="1" ht="36" customHeight="1">
      <c r="A1310" s="984"/>
      <c r="B1310" s="972"/>
      <c r="C1310" s="450"/>
      <c r="D1310" s="438"/>
      <c r="E1310" s="954" t="s">
        <v>437</v>
      </c>
      <c r="F1310" s="985"/>
      <c r="G1310" s="973"/>
      <c r="H1310" s="973"/>
      <c r="I1310" s="973"/>
      <c r="J1310" s="973"/>
      <c r="K1310" s="383"/>
      <c r="L1310" s="955"/>
      <c r="M1310" s="955"/>
      <c r="N1310" s="983">
        <v>0</v>
      </c>
      <c r="O1310" s="981"/>
      <c r="P1310" s="772"/>
      <c r="Q1310" s="812"/>
      <c r="R1310" s="953"/>
    </row>
    <row r="1311" spans="1:18" s="440" customFormat="1" ht="36" customHeight="1">
      <c r="A1311" s="984"/>
      <c r="B1311" s="972"/>
      <c r="C1311" s="450"/>
      <c r="D1311" s="438"/>
      <c r="E1311" s="954" t="s">
        <v>438</v>
      </c>
      <c r="F1311" s="985"/>
      <c r="G1311" s="973"/>
      <c r="H1311" s="973"/>
      <c r="I1311" s="973"/>
      <c r="J1311" s="973"/>
      <c r="K1311" s="383"/>
      <c r="L1311" s="955"/>
      <c r="M1311" s="955"/>
      <c r="N1311" s="983">
        <v>0</v>
      </c>
      <c r="O1311" s="981"/>
      <c r="P1311" s="772"/>
      <c r="Q1311" s="812"/>
      <c r="R1311" s="953"/>
    </row>
    <row r="1312" spans="1:18" s="440" customFormat="1" ht="36" customHeight="1">
      <c r="A1312" s="984"/>
      <c r="B1312" s="972"/>
      <c r="C1312" s="450"/>
      <c r="D1312" s="438"/>
      <c r="E1312" s="954" t="s">
        <v>593</v>
      </c>
      <c r="F1312" s="985"/>
      <c r="G1312" s="973"/>
      <c r="H1312" s="973"/>
      <c r="I1312" s="973"/>
      <c r="J1312" s="973"/>
      <c r="K1312" s="383"/>
      <c r="L1312" s="955"/>
      <c r="M1312" s="955"/>
      <c r="N1312" s="983">
        <v>1517.14</v>
      </c>
      <c r="O1312" s="981"/>
      <c r="P1312" s="772"/>
      <c r="Q1312" s="812"/>
      <c r="R1312" s="953"/>
    </row>
    <row r="1313" spans="1:18" s="440" customFormat="1" ht="36" customHeight="1">
      <c r="A1313" s="984"/>
      <c r="B1313" s="972"/>
      <c r="C1313" s="450"/>
      <c r="D1313" s="438"/>
      <c r="E1313" s="954" t="s">
        <v>439</v>
      </c>
      <c r="F1313" s="985"/>
      <c r="G1313" s="973"/>
      <c r="H1313" s="973"/>
      <c r="I1313" s="973"/>
      <c r="J1313" s="973"/>
      <c r="K1313" s="383"/>
      <c r="L1313" s="955"/>
      <c r="M1313" s="955"/>
      <c r="N1313" s="983">
        <v>0</v>
      </c>
      <c r="O1313" s="981"/>
      <c r="P1313" s="772"/>
      <c r="Q1313" s="812"/>
      <c r="R1313" s="953"/>
    </row>
    <row r="1314" spans="1:18" s="440" customFormat="1" ht="36" customHeight="1">
      <c r="A1314" s="984"/>
      <c r="B1314" s="972"/>
      <c r="C1314" s="450"/>
      <c r="D1314" s="438"/>
      <c r="E1314" s="954" t="s">
        <v>440</v>
      </c>
      <c r="F1314" s="985"/>
      <c r="G1314" s="973"/>
      <c r="H1314" s="973"/>
      <c r="I1314" s="973"/>
      <c r="J1314" s="973"/>
      <c r="K1314" s="383"/>
      <c r="L1314" s="955"/>
      <c r="M1314" s="955"/>
      <c r="N1314" s="983">
        <v>0</v>
      </c>
      <c r="O1314" s="981"/>
      <c r="P1314" s="772"/>
      <c r="Q1314" s="812"/>
      <c r="R1314" s="953"/>
    </row>
    <row r="1315" spans="1:18" s="440" customFormat="1" ht="36" customHeight="1">
      <c r="A1315" s="984"/>
      <c r="B1315" s="972"/>
      <c r="C1315" s="450"/>
      <c r="D1315" s="438"/>
      <c r="E1315" s="954" t="s">
        <v>590</v>
      </c>
      <c r="F1315" s="985"/>
      <c r="G1315" s="973"/>
      <c r="H1315" s="973"/>
      <c r="I1315" s="973"/>
      <c r="J1315" s="973"/>
      <c r="K1315" s="383"/>
      <c r="L1315" s="955"/>
      <c r="M1315" s="955"/>
      <c r="N1315" s="983">
        <v>0</v>
      </c>
      <c r="O1315" s="981"/>
      <c r="P1315" s="772"/>
      <c r="Q1315" s="812"/>
      <c r="R1315" s="953"/>
    </row>
    <row r="1316" spans="1:18" s="440" customFormat="1" ht="39" customHeight="1">
      <c r="A1316" s="984"/>
      <c r="B1316" s="972"/>
      <c r="C1316" s="450"/>
      <c r="D1316" s="438"/>
      <c r="E1316" s="954" t="s">
        <v>491</v>
      </c>
      <c r="F1316" s="985"/>
      <c r="G1316" s="973"/>
      <c r="H1316" s="973"/>
      <c r="I1316" s="973"/>
      <c r="J1316" s="973"/>
      <c r="K1316" s="383"/>
      <c r="L1316" s="955"/>
      <c r="M1316" s="955"/>
      <c r="N1316" s="983">
        <v>0</v>
      </c>
      <c r="O1316" s="981"/>
      <c r="P1316" s="772"/>
      <c r="Q1316" s="812"/>
      <c r="R1316" s="953"/>
    </row>
    <row r="1317" spans="1:18" s="440" customFormat="1" ht="36" customHeight="1">
      <c r="A1317" s="984"/>
      <c r="B1317" s="972"/>
      <c r="C1317" s="450"/>
      <c r="D1317" s="438"/>
      <c r="E1317" s="954" t="s">
        <v>442</v>
      </c>
      <c r="F1317" s="985"/>
      <c r="G1317" s="973"/>
      <c r="H1317" s="973"/>
      <c r="I1317" s="973"/>
      <c r="J1317" s="973"/>
      <c r="K1317" s="383"/>
      <c r="L1317" s="955"/>
      <c r="M1317" s="955"/>
      <c r="N1317" s="983">
        <v>0</v>
      </c>
      <c r="O1317" s="981"/>
      <c r="P1317" s="772"/>
      <c r="Q1317" s="812"/>
      <c r="R1317" s="953"/>
    </row>
    <row r="1318" spans="1:18" s="440" customFormat="1" ht="36" customHeight="1">
      <c r="A1318" s="984"/>
      <c r="B1318" s="972"/>
      <c r="C1318" s="450"/>
      <c r="D1318" s="438"/>
      <c r="E1318" s="954" t="s">
        <v>443</v>
      </c>
      <c r="F1318" s="985"/>
      <c r="G1318" s="973"/>
      <c r="H1318" s="973"/>
      <c r="I1318" s="973"/>
      <c r="J1318" s="973"/>
      <c r="K1318" s="383"/>
      <c r="L1318" s="955"/>
      <c r="M1318" s="955"/>
      <c r="N1318" s="983">
        <v>58041.279999999999</v>
      </c>
      <c r="O1318" s="981"/>
      <c r="P1318" s="772"/>
      <c r="Q1318" s="812"/>
      <c r="R1318" s="953"/>
    </row>
    <row r="1319" spans="1:18" s="440" customFormat="1" ht="36" customHeight="1">
      <c r="A1319" s="984"/>
      <c r="B1319" s="972"/>
      <c r="C1319" s="450"/>
      <c r="D1319" s="438"/>
      <c r="E1319" s="954" t="s">
        <v>485</v>
      </c>
      <c r="F1319" s="985"/>
      <c r="G1319" s="973"/>
      <c r="H1319" s="973"/>
      <c r="I1319" s="973"/>
      <c r="J1319" s="973"/>
      <c r="K1319" s="383"/>
      <c r="L1319" s="955"/>
      <c r="M1319" s="955"/>
      <c r="N1319" s="983">
        <v>0</v>
      </c>
      <c r="O1319" s="981"/>
      <c r="P1319" s="772"/>
      <c r="Q1319" s="812"/>
      <c r="R1319" s="953"/>
    </row>
    <row r="1320" spans="1:18" s="440" customFormat="1" ht="36" customHeight="1">
      <c r="A1320" s="984"/>
      <c r="B1320" s="972"/>
      <c r="C1320" s="450"/>
      <c r="D1320" s="438"/>
      <c r="E1320" s="954" t="s">
        <v>445</v>
      </c>
      <c r="F1320" s="985"/>
      <c r="G1320" s="973"/>
      <c r="H1320" s="973"/>
      <c r="I1320" s="973"/>
      <c r="J1320" s="973"/>
      <c r="K1320" s="383"/>
      <c r="L1320" s="955"/>
      <c r="M1320" s="955"/>
      <c r="N1320" s="983">
        <v>0</v>
      </c>
      <c r="O1320" s="981"/>
      <c r="P1320" s="772"/>
      <c r="Q1320" s="812"/>
      <c r="R1320" s="953"/>
    </row>
    <row r="1321" spans="1:18" s="440" customFormat="1" ht="36" customHeight="1">
      <c r="A1321" s="984"/>
      <c r="B1321" s="972"/>
      <c r="C1321" s="450"/>
      <c r="D1321" s="438"/>
      <c r="E1321" s="954" t="s">
        <v>446</v>
      </c>
      <c r="F1321" s="985"/>
      <c r="G1321" s="973"/>
      <c r="H1321" s="973"/>
      <c r="I1321" s="973"/>
      <c r="J1321" s="973"/>
      <c r="K1321" s="383"/>
      <c r="L1321" s="955"/>
      <c r="M1321" s="955"/>
      <c r="N1321" s="983">
        <v>34011.129999999997</v>
      </c>
      <c r="O1321" s="981"/>
      <c r="P1321" s="772"/>
      <c r="Q1321" s="812"/>
      <c r="R1321" s="953"/>
    </row>
    <row r="1322" spans="1:18" s="440" customFormat="1" ht="57" customHeight="1">
      <c r="A1322" s="984"/>
      <c r="B1322" s="972"/>
      <c r="C1322" s="986"/>
      <c r="D1322" s="438"/>
      <c r="E1322" s="945" t="s">
        <v>418</v>
      </c>
      <c r="F1322" s="949">
        <v>117300</v>
      </c>
      <c r="G1322" s="949">
        <v>111778</v>
      </c>
      <c r="H1322" s="949">
        <v>74715.13</v>
      </c>
      <c r="I1322" s="973"/>
      <c r="J1322" s="973"/>
      <c r="K1322" s="529"/>
      <c r="L1322" s="949">
        <v>66515</v>
      </c>
      <c r="M1322" s="949">
        <v>66515</v>
      </c>
      <c r="N1322" s="977">
        <f>SUM(N1323:N1343)</f>
        <v>31001.199999999997</v>
      </c>
      <c r="O1322" s="978">
        <f>N1322/M1322</f>
        <v>0.46607832819664735</v>
      </c>
      <c r="P1322" s="772" t="s">
        <v>395</v>
      </c>
      <c r="Q1322" s="812"/>
      <c r="R1322" s="953"/>
    </row>
    <row r="1323" spans="1:18" s="440" customFormat="1" ht="52.5" customHeight="1">
      <c r="A1323" s="984"/>
      <c r="B1323" s="972"/>
      <c r="C1323" s="986"/>
      <c r="D1323" s="438"/>
      <c r="E1323" s="957" t="s">
        <v>447</v>
      </c>
      <c r="F1323" s="958"/>
      <c r="G1323" s="958"/>
      <c r="H1323" s="958">
        <v>0</v>
      </c>
      <c r="I1323" s="973"/>
      <c r="J1323" s="973"/>
      <c r="K1323" s="529"/>
      <c r="L1323" s="958"/>
      <c r="M1323" s="958"/>
      <c r="N1323" s="983">
        <v>14.7</v>
      </c>
      <c r="O1323" s="981"/>
      <c r="P1323" s="772"/>
      <c r="Q1323" s="812"/>
      <c r="R1323" s="953"/>
    </row>
    <row r="1324" spans="1:18" s="440" customFormat="1" ht="36" customHeight="1">
      <c r="A1324" s="984"/>
      <c r="B1324" s="972"/>
      <c r="C1324" s="450"/>
      <c r="D1324" s="438"/>
      <c r="E1324" s="957" t="s">
        <v>591</v>
      </c>
      <c r="F1324" s="958"/>
      <c r="G1324" s="958"/>
      <c r="H1324" s="958">
        <v>0</v>
      </c>
      <c r="I1324" s="973"/>
      <c r="J1324" s="973"/>
      <c r="K1324" s="529"/>
      <c r="L1324" s="958"/>
      <c r="M1324" s="958"/>
      <c r="N1324" s="983">
        <v>0</v>
      </c>
      <c r="O1324" s="981"/>
      <c r="P1324" s="772"/>
      <c r="Q1324" s="812"/>
      <c r="R1324" s="953"/>
    </row>
    <row r="1325" spans="1:18" s="440" customFormat="1" ht="36" customHeight="1">
      <c r="A1325" s="984"/>
      <c r="B1325" s="972"/>
      <c r="C1325" s="450"/>
      <c r="D1325" s="438"/>
      <c r="E1325" s="957" t="s">
        <v>449</v>
      </c>
      <c r="F1325" s="958"/>
      <c r="G1325" s="958"/>
      <c r="H1325" s="958">
        <v>0</v>
      </c>
      <c r="I1325" s="973"/>
      <c r="J1325" s="973"/>
      <c r="K1325" s="529"/>
      <c r="L1325" s="958"/>
      <c r="M1325" s="958"/>
      <c r="N1325" s="983">
        <v>0</v>
      </c>
      <c r="O1325" s="981"/>
      <c r="P1325" s="772"/>
      <c r="Q1325" s="812"/>
      <c r="R1325" s="953"/>
    </row>
    <row r="1326" spans="1:18" s="440" customFormat="1" ht="36" customHeight="1">
      <c r="A1326" s="984"/>
      <c r="B1326" s="972"/>
      <c r="C1326" s="450"/>
      <c r="D1326" s="438"/>
      <c r="E1326" s="957" t="s">
        <v>450</v>
      </c>
      <c r="F1326" s="958"/>
      <c r="G1326" s="958"/>
      <c r="H1326" s="958">
        <v>0</v>
      </c>
      <c r="I1326" s="973"/>
      <c r="J1326" s="973"/>
      <c r="K1326" s="529"/>
      <c r="L1326" s="958"/>
      <c r="M1326" s="958"/>
      <c r="N1326" s="983">
        <v>0</v>
      </c>
      <c r="O1326" s="981"/>
      <c r="P1326" s="772"/>
      <c r="Q1326" s="812"/>
      <c r="R1326" s="953"/>
    </row>
    <row r="1327" spans="1:18" s="440" customFormat="1" ht="36" customHeight="1">
      <c r="A1327" s="984"/>
      <c r="B1327" s="972"/>
      <c r="C1327" s="450"/>
      <c r="D1327" s="438"/>
      <c r="E1327" s="957" t="s">
        <v>451</v>
      </c>
      <c r="F1327" s="958"/>
      <c r="G1327" s="958"/>
      <c r="H1327" s="958">
        <v>0</v>
      </c>
      <c r="I1327" s="973"/>
      <c r="J1327" s="973"/>
      <c r="K1327" s="529"/>
      <c r="L1327" s="958"/>
      <c r="M1327" s="958"/>
      <c r="N1327" s="983">
        <v>0</v>
      </c>
      <c r="O1327" s="981"/>
      <c r="P1327" s="772"/>
      <c r="Q1327" s="812"/>
      <c r="R1327" s="953"/>
    </row>
    <row r="1328" spans="1:18" s="440" customFormat="1" ht="36" customHeight="1">
      <c r="A1328" s="984"/>
      <c r="B1328" s="972"/>
      <c r="C1328" s="450"/>
      <c r="D1328" s="438"/>
      <c r="E1328" s="957" t="s">
        <v>486</v>
      </c>
      <c r="F1328" s="958"/>
      <c r="G1328" s="958"/>
      <c r="H1328" s="958">
        <v>4300</v>
      </c>
      <c r="I1328" s="973"/>
      <c r="J1328" s="973"/>
      <c r="K1328" s="529"/>
      <c r="L1328" s="958"/>
      <c r="M1328" s="958"/>
      <c r="N1328" s="983">
        <v>0</v>
      </c>
      <c r="O1328" s="981"/>
      <c r="P1328" s="772"/>
      <c r="Q1328" s="812"/>
      <c r="R1328" s="953"/>
    </row>
    <row r="1329" spans="1:18" s="440" customFormat="1" ht="84" customHeight="1">
      <c r="A1329" s="984"/>
      <c r="B1329" s="972"/>
      <c r="C1329" s="450"/>
      <c r="D1329" s="438"/>
      <c r="E1329" s="957" t="s">
        <v>452</v>
      </c>
      <c r="F1329" s="958"/>
      <c r="G1329" s="958"/>
      <c r="H1329" s="958">
        <v>0</v>
      </c>
      <c r="I1329" s="973"/>
      <c r="J1329" s="973"/>
      <c r="K1329" s="529"/>
      <c r="L1329" s="958"/>
      <c r="M1329" s="958"/>
      <c r="N1329" s="983">
        <v>3597.5</v>
      </c>
      <c r="O1329" s="981"/>
      <c r="P1329" s="772"/>
      <c r="Q1329" s="812"/>
      <c r="R1329" s="953"/>
    </row>
    <row r="1330" spans="1:18" s="440" customFormat="1" ht="54.75" customHeight="1">
      <c r="A1330" s="984"/>
      <c r="B1330" s="972"/>
      <c r="C1330" s="450"/>
      <c r="D1330" s="438"/>
      <c r="E1330" s="957" t="s">
        <v>453</v>
      </c>
      <c r="F1330" s="958"/>
      <c r="G1330" s="958"/>
      <c r="H1330" s="958">
        <v>0</v>
      </c>
      <c r="I1330" s="973"/>
      <c r="J1330" s="973"/>
      <c r="K1330" s="529"/>
      <c r="L1330" s="958"/>
      <c r="M1330" s="958"/>
      <c r="N1330" s="983">
        <v>4378.04</v>
      </c>
      <c r="O1330" s="981"/>
      <c r="P1330" s="772"/>
      <c r="Q1330" s="812"/>
      <c r="R1330" s="953"/>
    </row>
    <row r="1331" spans="1:18" s="440" customFormat="1" ht="36" customHeight="1">
      <c r="A1331" s="984"/>
      <c r="B1331" s="972"/>
      <c r="C1331" s="450"/>
      <c r="D1331" s="438"/>
      <c r="E1331" s="957" t="s">
        <v>454</v>
      </c>
      <c r="F1331" s="958"/>
      <c r="G1331" s="958"/>
      <c r="H1331" s="958">
        <v>0</v>
      </c>
      <c r="I1331" s="973"/>
      <c r="J1331" s="973"/>
      <c r="K1331" s="529"/>
      <c r="L1331" s="958"/>
      <c r="M1331" s="958"/>
      <c r="N1331" s="983">
        <v>0</v>
      </c>
      <c r="O1331" s="981"/>
      <c r="P1331" s="772"/>
      <c r="Q1331" s="812"/>
      <c r="R1331" s="953"/>
    </row>
    <row r="1332" spans="1:18" s="440" customFormat="1" ht="54.75" customHeight="1">
      <c r="A1332" s="984"/>
      <c r="B1332" s="972"/>
      <c r="C1332" s="450"/>
      <c r="D1332" s="438"/>
      <c r="E1332" s="957" t="s">
        <v>455</v>
      </c>
      <c r="F1332" s="958"/>
      <c r="G1332" s="958"/>
      <c r="H1332" s="958">
        <v>0</v>
      </c>
      <c r="I1332" s="973"/>
      <c r="J1332" s="973"/>
      <c r="K1332" s="529"/>
      <c r="L1332" s="958"/>
      <c r="M1332" s="958"/>
      <c r="N1332" s="983">
        <v>0</v>
      </c>
      <c r="O1332" s="981"/>
      <c r="P1332" s="772"/>
      <c r="Q1332" s="812"/>
      <c r="R1332" s="953"/>
    </row>
    <row r="1333" spans="1:18" s="440" customFormat="1" ht="36" customHeight="1">
      <c r="A1333" s="984"/>
      <c r="B1333" s="972"/>
      <c r="C1333" s="450"/>
      <c r="D1333" s="438"/>
      <c r="E1333" s="957" t="s">
        <v>456</v>
      </c>
      <c r="F1333" s="958"/>
      <c r="G1333" s="958"/>
      <c r="H1333" s="958">
        <v>0</v>
      </c>
      <c r="I1333" s="973"/>
      <c r="J1333" s="973"/>
      <c r="K1333" s="529"/>
      <c r="L1333" s="958"/>
      <c r="M1333" s="958"/>
      <c r="N1333" s="983">
        <v>0</v>
      </c>
      <c r="O1333" s="981"/>
      <c r="P1333" s="772"/>
      <c r="Q1333" s="812"/>
      <c r="R1333" s="953"/>
    </row>
    <row r="1334" spans="1:18" s="440" customFormat="1" ht="54.75" customHeight="1">
      <c r="A1334" s="984"/>
      <c r="B1334" s="972"/>
      <c r="C1334" s="450"/>
      <c r="D1334" s="438"/>
      <c r="E1334" s="957" t="s">
        <v>457</v>
      </c>
      <c r="F1334" s="958"/>
      <c r="G1334" s="958"/>
      <c r="H1334" s="958">
        <v>0</v>
      </c>
      <c r="I1334" s="973"/>
      <c r="J1334" s="973"/>
      <c r="K1334" s="529"/>
      <c r="L1334" s="958"/>
      <c r="M1334" s="958"/>
      <c r="N1334" s="983">
        <v>0</v>
      </c>
      <c r="O1334" s="981"/>
      <c r="P1334" s="772"/>
      <c r="Q1334" s="812"/>
      <c r="R1334" s="953"/>
    </row>
    <row r="1335" spans="1:18" s="440" customFormat="1" ht="36" customHeight="1">
      <c r="A1335" s="984"/>
      <c r="B1335" s="972"/>
      <c r="C1335" s="450"/>
      <c r="D1335" s="438"/>
      <c r="E1335" s="957" t="s">
        <v>458</v>
      </c>
      <c r="F1335" s="961"/>
      <c r="G1335" s="961"/>
      <c r="H1335" s="958">
        <v>32231.32</v>
      </c>
      <c r="I1335" s="973"/>
      <c r="J1335" s="973"/>
      <c r="K1335" s="529"/>
      <c r="L1335" s="961"/>
      <c r="M1335" s="961"/>
      <c r="N1335" s="983">
        <v>0</v>
      </c>
      <c r="O1335" s="981"/>
      <c r="P1335" s="772"/>
      <c r="Q1335" s="812"/>
      <c r="R1335" s="953"/>
    </row>
    <row r="1336" spans="1:18" s="440" customFormat="1" ht="36" customHeight="1">
      <c r="A1336" s="984"/>
      <c r="B1336" s="972"/>
      <c r="C1336" s="450"/>
      <c r="D1336" s="438"/>
      <c r="E1336" s="957" t="s">
        <v>459</v>
      </c>
      <c r="F1336" s="961"/>
      <c r="G1336" s="961"/>
      <c r="H1336" s="958">
        <v>0</v>
      </c>
      <c r="I1336" s="973"/>
      <c r="J1336" s="973"/>
      <c r="K1336" s="529"/>
      <c r="L1336" s="961"/>
      <c r="M1336" s="961"/>
      <c r="N1336" s="983">
        <v>0</v>
      </c>
      <c r="O1336" s="981"/>
      <c r="P1336" s="772"/>
      <c r="Q1336" s="812"/>
      <c r="R1336" s="953"/>
    </row>
    <row r="1337" spans="1:18" s="440" customFormat="1" ht="36" customHeight="1">
      <c r="A1337" s="984"/>
      <c r="B1337" s="972"/>
      <c r="C1337" s="450"/>
      <c r="D1337" s="438"/>
      <c r="E1337" s="957" t="s">
        <v>460</v>
      </c>
      <c r="F1337" s="961"/>
      <c r="G1337" s="961"/>
      <c r="H1337" s="958">
        <v>692</v>
      </c>
      <c r="I1337" s="973"/>
      <c r="J1337" s="973"/>
      <c r="K1337" s="529"/>
      <c r="L1337" s="961"/>
      <c r="M1337" s="961"/>
      <c r="N1337" s="983">
        <v>0</v>
      </c>
      <c r="O1337" s="981"/>
      <c r="P1337" s="772"/>
      <c r="Q1337" s="812"/>
      <c r="R1337" s="953"/>
    </row>
    <row r="1338" spans="1:18" s="440" customFormat="1" ht="36" customHeight="1">
      <c r="A1338" s="984"/>
      <c r="B1338" s="972"/>
      <c r="C1338" s="450"/>
      <c r="D1338" s="438"/>
      <c r="E1338" s="957" t="s">
        <v>461</v>
      </c>
      <c r="F1338" s="961"/>
      <c r="G1338" s="961"/>
      <c r="H1338" s="958">
        <v>35817</v>
      </c>
      <c r="I1338" s="973"/>
      <c r="J1338" s="973"/>
      <c r="K1338" s="529"/>
      <c r="L1338" s="961"/>
      <c r="M1338" s="961"/>
      <c r="N1338" s="983">
        <v>20389</v>
      </c>
      <c r="O1338" s="981"/>
      <c r="P1338" s="772"/>
      <c r="Q1338" s="812"/>
      <c r="R1338" s="953"/>
    </row>
    <row r="1339" spans="1:18" s="440" customFormat="1" ht="36" customHeight="1">
      <c r="A1339" s="984"/>
      <c r="B1339" s="972"/>
      <c r="C1339" s="450"/>
      <c r="D1339" s="438"/>
      <c r="E1339" s="957" t="s">
        <v>462</v>
      </c>
      <c r="F1339" s="961"/>
      <c r="G1339" s="961"/>
      <c r="H1339" s="958">
        <v>0</v>
      </c>
      <c r="I1339" s="973"/>
      <c r="J1339" s="973"/>
      <c r="K1339" s="529"/>
      <c r="L1339" s="961"/>
      <c r="M1339" s="961"/>
      <c r="N1339" s="983">
        <v>0</v>
      </c>
      <c r="O1339" s="981"/>
      <c r="P1339" s="772"/>
      <c r="Q1339" s="812"/>
      <c r="R1339" s="953"/>
    </row>
    <row r="1340" spans="1:18" s="440" customFormat="1" ht="54.75" customHeight="1">
      <c r="A1340" s="984"/>
      <c r="B1340" s="972"/>
      <c r="C1340" s="450"/>
      <c r="D1340" s="438"/>
      <c r="E1340" s="957" t="s">
        <v>463</v>
      </c>
      <c r="F1340" s="961"/>
      <c r="G1340" s="961"/>
      <c r="H1340" s="958">
        <v>0</v>
      </c>
      <c r="I1340" s="973"/>
      <c r="J1340" s="973"/>
      <c r="K1340" s="529"/>
      <c r="L1340" s="961"/>
      <c r="M1340" s="961"/>
      <c r="N1340" s="983">
        <v>2621.96</v>
      </c>
      <c r="O1340" s="981"/>
      <c r="P1340" s="772"/>
      <c r="Q1340" s="812"/>
      <c r="R1340" s="953"/>
    </row>
    <row r="1341" spans="1:18" s="440" customFormat="1" ht="36" customHeight="1">
      <c r="A1341" s="984"/>
      <c r="B1341" s="972"/>
      <c r="C1341" s="450"/>
      <c r="D1341" s="438"/>
      <c r="E1341" s="957" t="s">
        <v>464</v>
      </c>
      <c r="F1341" s="961"/>
      <c r="G1341" s="961"/>
      <c r="H1341" s="958">
        <v>0</v>
      </c>
      <c r="I1341" s="973"/>
      <c r="J1341" s="973"/>
      <c r="K1341" s="529"/>
      <c r="L1341" s="961"/>
      <c r="M1341" s="961"/>
      <c r="N1341" s="983">
        <v>0</v>
      </c>
      <c r="O1341" s="981"/>
      <c r="P1341" s="772"/>
      <c r="Q1341" s="812"/>
      <c r="R1341" s="953"/>
    </row>
    <row r="1342" spans="1:18" s="440" customFormat="1" ht="36" customHeight="1">
      <c r="A1342" s="984"/>
      <c r="B1342" s="972"/>
      <c r="C1342" s="450"/>
      <c r="D1342" s="438"/>
      <c r="E1342" s="957" t="s">
        <v>465</v>
      </c>
      <c r="F1342" s="961"/>
      <c r="G1342" s="961"/>
      <c r="H1342" s="958">
        <v>0</v>
      </c>
      <c r="I1342" s="973"/>
      <c r="J1342" s="973"/>
      <c r="K1342" s="529"/>
      <c r="L1342" s="961"/>
      <c r="M1342" s="961"/>
      <c r="N1342" s="983">
        <v>0</v>
      </c>
      <c r="O1342" s="981"/>
      <c r="P1342" s="772"/>
      <c r="Q1342" s="812"/>
      <c r="R1342" s="953"/>
    </row>
    <row r="1343" spans="1:18" s="440" customFormat="1" ht="36" customHeight="1">
      <c r="A1343" s="984"/>
      <c r="B1343" s="972"/>
      <c r="C1343" s="450"/>
      <c r="D1343" s="438"/>
      <c r="E1343" s="957" t="s">
        <v>466</v>
      </c>
      <c r="F1343" s="961"/>
      <c r="G1343" s="961"/>
      <c r="H1343" s="958">
        <v>1674.81</v>
      </c>
      <c r="I1343" s="973"/>
      <c r="J1343" s="973"/>
      <c r="K1343" s="529"/>
      <c r="L1343" s="961"/>
      <c r="M1343" s="961"/>
      <c r="N1343" s="983">
        <v>0</v>
      </c>
      <c r="O1343" s="981"/>
      <c r="P1343" s="772"/>
      <c r="Q1343" s="812"/>
      <c r="R1343" s="953"/>
    </row>
    <row r="1344" spans="1:18" s="440" customFormat="1" ht="57" customHeight="1">
      <c r="A1344" s="984"/>
      <c r="B1344" s="972"/>
      <c r="C1344" s="986"/>
      <c r="D1344" s="438"/>
      <c r="E1344" s="945" t="s">
        <v>467</v>
      </c>
      <c r="F1344" s="949">
        <v>117300</v>
      </c>
      <c r="G1344" s="949">
        <v>111778</v>
      </c>
      <c r="H1344" s="949">
        <v>74715.13</v>
      </c>
      <c r="I1344" s="973"/>
      <c r="J1344" s="973"/>
      <c r="K1344" s="529"/>
      <c r="L1344" s="949">
        <v>0</v>
      </c>
      <c r="M1344" s="949">
        <v>0</v>
      </c>
      <c r="N1344" s="949">
        <v>0</v>
      </c>
      <c r="O1344" s="978">
        <v>0</v>
      </c>
      <c r="P1344" s="772" t="s">
        <v>395</v>
      </c>
      <c r="Q1344" s="812"/>
      <c r="R1344" s="953"/>
    </row>
    <row r="1345" spans="1:18" s="434" customFormat="1" ht="92.25" customHeight="1">
      <c r="A1345" s="559"/>
      <c r="B1345" s="61"/>
      <c r="C1345" s="453" t="s">
        <v>52</v>
      </c>
      <c r="D1345" s="454"/>
      <c r="E1345" s="457" t="s">
        <v>348</v>
      </c>
      <c r="F1345" s="518"/>
      <c r="G1345" s="277"/>
      <c r="H1345" s="277"/>
      <c r="I1345" s="277"/>
      <c r="J1345" s="277"/>
      <c r="K1345" s="452">
        <v>10000</v>
      </c>
      <c r="L1345" s="452">
        <f>SUM(F1345:K1345)</f>
        <v>10000</v>
      </c>
      <c r="M1345" s="452">
        <v>150002</v>
      </c>
      <c r="N1345" s="452">
        <v>46124.22</v>
      </c>
      <c r="O1345" s="873">
        <f>N1345/M1345</f>
        <v>0.30749070012399837</v>
      </c>
      <c r="P1345" s="765" t="s">
        <v>395</v>
      </c>
      <c r="Q1345" s="651"/>
    </row>
    <row r="1346" spans="1:18" s="274" customFormat="1" ht="207.75" customHeight="1">
      <c r="A1346" s="429"/>
      <c r="B1346" s="75">
        <v>80152</v>
      </c>
      <c r="C1346" s="74"/>
      <c r="D1346" s="176"/>
      <c r="E1346" s="175" t="s">
        <v>285</v>
      </c>
      <c r="F1346" s="409">
        <f t="shared" ref="F1346:J1346" si="110">F1347</f>
        <v>0</v>
      </c>
      <c r="G1346" s="92">
        <f t="shared" si="110"/>
        <v>0</v>
      </c>
      <c r="H1346" s="92">
        <f t="shared" si="110"/>
        <v>0</v>
      </c>
      <c r="I1346" s="92">
        <f t="shared" si="110"/>
        <v>0</v>
      </c>
      <c r="J1346" s="92">
        <f t="shared" si="110"/>
        <v>0</v>
      </c>
      <c r="K1346" s="92">
        <f>K1347+K1391</f>
        <v>381461</v>
      </c>
      <c r="L1346" s="92">
        <f>L1347+L1391</f>
        <v>381461</v>
      </c>
      <c r="M1346" s="92">
        <f t="shared" ref="M1346:N1346" si="111">M1347+M1391</f>
        <v>332524</v>
      </c>
      <c r="N1346" s="92">
        <f t="shared" si="111"/>
        <v>112961.39</v>
      </c>
      <c r="O1346" s="755">
        <f>N1346/M1346</f>
        <v>0.33970898341172368</v>
      </c>
      <c r="P1346" s="786" t="s">
        <v>395</v>
      </c>
      <c r="Q1346" s="669"/>
    </row>
    <row r="1347" spans="1:18" s="193" customFormat="1" ht="39.9" customHeight="1">
      <c r="A1347" s="487"/>
      <c r="B1347" s="173"/>
      <c r="C1347" s="190" t="s">
        <v>21</v>
      </c>
      <c r="D1347" s="189"/>
      <c r="E1347" s="188" t="s">
        <v>20</v>
      </c>
      <c r="F1347" s="187"/>
      <c r="G1347" s="187"/>
      <c r="H1347" s="187"/>
      <c r="I1347" s="187"/>
      <c r="J1347" s="187"/>
      <c r="K1347" s="432">
        <f>K1348</f>
        <v>361461</v>
      </c>
      <c r="L1347" s="432">
        <f>L1348</f>
        <v>361461</v>
      </c>
      <c r="M1347" s="432">
        <f t="shared" ref="M1347:N1347" si="112">M1348</f>
        <v>312324</v>
      </c>
      <c r="N1347" s="432">
        <f t="shared" si="112"/>
        <v>103011.23</v>
      </c>
      <c r="O1347" s="819">
        <f>N1347/M1347</f>
        <v>0.329821691576696</v>
      </c>
      <c r="P1347" s="781" t="s">
        <v>395</v>
      </c>
      <c r="Q1347" s="665"/>
    </row>
    <row r="1348" spans="1:18" s="441" customFormat="1" ht="39.9" customHeight="1">
      <c r="A1348" s="487"/>
      <c r="B1348" s="420"/>
      <c r="C1348" s="394">
        <v>1</v>
      </c>
      <c r="D1348" s="443"/>
      <c r="E1348" s="544" t="s">
        <v>284</v>
      </c>
      <c r="F1348" s="395"/>
      <c r="G1348" s="421"/>
      <c r="H1348" s="421"/>
      <c r="I1348" s="421"/>
      <c r="J1348" s="421"/>
      <c r="K1348" s="421">
        <v>361461</v>
      </c>
      <c r="L1348" s="421">
        <f>L1349+L1368+L1390</f>
        <v>361461</v>
      </c>
      <c r="M1348" s="421">
        <f t="shared" ref="M1348:N1348" si="113">M1349+M1368+M1390</f>
        <v>312324</v>
      </c>
      <c r="N1348" s="421">
        <f t="shared" si="113"/>
        <v>103011.23</v>
      </c>
      <c r="O1348" s="850">
        <f>N1348/M1348</f>
        <v>0.329821691576696</v>
      </c>
      <c r="P1348" s="787" t="s">
        <v>395</v>
      </c>
      <c r="Q1348" s="670"/>
    </row>
    <row r="1349" spans="1:18" s="431" customFormat="1" ht="39.9" customHeight="1">
      <c r="A1349" s="987"/>
      <c r="B1349" s="944"/>
      <c r="C1349" s="458"/>
      <c r="D1349" s="444"/>
      <c r="E1349" s="945" t="s">
        <v>412</v>
      </c>
      <c r="F1349" s="976"/>
      <c r="G1349" s="946"/>
      <c r="H1349" s="946"/>
      <c r="I1349" s="946"/>
      <c r="J1349" s="947"/>
      <c r="K1349" s="948"/>
      <c r="L1349" s="949">
        <v>308865</v>
      </c>
      <c r="M1349" s="949">
        <v>259728</v>
      </c>
      <c r="N1349" s="977">
        <f>SUM(N1351:N1367)</f>
        <v>78014.819999999992</v>
      </c>
      <c r="O1349" s="978">
        <f>N1349/M1349</f>
        <v>0.30037123452226944</v>
      </c>
      <c r="P1349" s="780" t="s">
        <v>395</v>
      </c>
      <c r="Q1349" s="908"/>
      <c r="R1349" s="951"/>
    </row>
    <row r="1350" spans="1:18" s="440" customFormat="1" ht="34.5" customHeight="1">
      <c r="A1350" s="984"/>
      <c r="B1350" s="972"/>
      <c r="C1350" s="450"/>
      <c r="D1350" s="438"/>
      <c r="E1350" s="952" t="s">
        <v>13</v>
      </c>
      <c r="F1350" s="985"/>
      <c r="G1350" s="973"/>
      <c r="H1350" s="973"/>
      <c r="I1350" s="973"/>
      <c r="J1350" s="973"/>
      <c r="K1350" s="383"/>
      <c r="L1350" s="980"/>
      <c r="M1350" s="980"/>
      <c r="N1350" s="980"/>
      <c r="O1350" s="981"/>
      <c r="P1350" s="772"/>
      <c r="Q1350" s="812"/>
      <c r="R1350" s="953"/>
    </row>
    <row r="1351" spans="1:18" s="440" customFormat="1" ht="36" customHeight="1">
      <c r="A1351" s="984"/>
      <c r="B1351" s="972"/>
      <c r="C1351" s="450"/>
      <c r="D1351" s="425"/>
      <c r="E1351" s="954" t="s">
        <v>594</v>
      </c>
      <c r="F1351" s="985"/>
      <c r="G1351" s="973"/>
      <c r="H1351" s="973"/>
      <c r="I1351" s="973"/>
      <c r="J1351" s="973"/>
      <c r="K1351" s="383"/>
      <c r="L1351" s="955"/>
      <c r="M1351" s="955"/>
      <c r="N1351" s="983">
        <v>66609.899999999994</v>
      </c>
      <c r="O1351" s="981"/>
      <c r="P1351" s="772"/>
      <c r="Q1351" s="812"/>
      <c r="R1351" s="953"/>
    </row>
    <row r="1352" spans="1:18" s="440" customFormat="1" ht="57" customHeight="1">
      <c r="A1352" s="984"/>
      <c r="B1352" s="972"/>
      <c r="C1352" s="450"/>
      <c r="D1352" s="438"/>
      <c r="E1352" s="954" t="s">
        <v>478</v>
      </c>
      <c r="F1352" s="985"/>
      <c r="G1352" s="973"/>
      <c r="H1352" s="973"/>
      <c r="I1352" s="973"/>
      <c r="J1352" s="973"/>
      <c r="K1352" s="383"/>
      <c r="L1352" s="955"/>
      <c r="M1352" s="955"/>
      <c r="N1352" s="983">
        <v>0</v>
      </c>
      <c r="O1352" s="981"/>
      <c r="P1352" s="772"/>
      <c r="Q1352" s="812"/>
      <c r="R1352" s="953"/>
    </row>
    <row r="1353" spans="1:18" s="440" customFormat="1" ht="49.8" customHeight="1">
      <c r="A1353" s="984"/>
      <c r="B1353" s="972"/>
      <c r="C1353" s="450"/>
      <c r="D1353" s="438"/>
      <c r="E1353" s="954" t="s">
        <v>479</v>
      </c>
      <c r="F1353" s="985"/>
      <c r="G1353" s="973"/>
      <c r="H1353" s="973"/>
      <c r="I1353" s="973"/>
      <c r="J1353" s="973"/>
      <c r="K1353" s="383"/>
      <c r="L1353" s="955"/>
      <c r="M1353" s="955"/>
      <c r="N1353" s="983">
        <v>0</v>
      </c>
      <c r="O1353" s="981"/>
      <c r="P1353" s="772"/>
      <c r="Q1353" s="812"/>
      <c r="R1353" s="953"/>
    </row>
    <row r="1354" spans="1:18" s="440" customFormat="1" ht="36" customHeight="1">
      <c r="A1354" s="984"/>
      <c r="B1354" s="972"/>
      <c r="C1354" s="450"/>
      <c r="D1354" s="438"/>
      <c r="E1354" s="954" t="s">
        <v>480</v>
      </c>
      <c r="F1354" s="985"/>
      <c r="G1354" s="973"/>
      <c r="H1354" s="973"/>
      <c r="I1354" s="973"/>
      <c r="J1354" s="973"/>
      <c r="K1354" s="383"/>
      <c r="L1354" s="955"/>
      <c r="M1354" s="955"/>
      <c r="N1354" s="983">
        <v>0</v>
      </c>
      <c r="O1354" s="981"/>
      <c r="P1354" s="772"/>
      <c r="Q1354" s="812"/>
      <c r="R1354" s="953"/>
    </row>
    <row r="1355" spans="1:18" s="440" customFormat="1" ht="36" customHeight="1">
      <c r="A1355" s="984"/>
      <c r="B1355" s="972"/>
      <c r="C1355" s="450"/>
      <c r="D1355" s="438"/>
      <c r="E1355" s="954" t="s">
        <v>436</v>
      </c>
      <c r="F1355" s="985"/>
      <c r="G1355" s="973"/>
      <c r="H1355" s="973"/>
      <c r="I1355" s="973"/>
      <c r="J1355" s="973"/>
      <c r="K1355" s="383"/>
      <c r="L1355" s="955"/>
      <c r="M1355" s="955"/>
      <c r="N1355" s="983">
        <v>0</v>
      </c>
      <c r="O1355" s="981"/>
      <c r="P1355" s="772"/>
      <c r="Q1355" s="812"/>
      <c r="R1355" s="953"/>
    </row>
    <row r="1356" spans="1:18" s="440" customFormat="1" ht="36" customHeight="1">
      <c r="A1356" s="984"/>
      <c r="B1356" s="972"/>
      <c r="C1356" s="450"/>
      <c r="D1356" s="438"/>
      <c r="E1356" s="954" t="s">
        <v>437</v>
      </c>
      <c r="F1356" s="985"/>
      <c r="G1356" s="973"/>
      <c r="H1356" s="973"/>
      <c r="I1356" s="973"/>
      <c r="J1356" s="973"/>
      <c r="K1356" s="383"/>
      <c r="L1356" s="955"/>
      <c r="M1356" s="955"/>
      <c r="N1356" s="983">
        <v>0</v>
      </c>
      <c r="O1356" s="981"/>
      <c r="P1356" s="772"/>
      <c r="Q1356" s="812"/>
      <c r="R1356" s="953"/>
    </row>
    <row r="1357" spans="1:18" s="440" customFormat="1" ht="36" customHeight="1">
      <c r="A1357" s="984"/>
      <c r="B1357" s="972"/>
      <c r="C1357" s="450"/>
      <c r="D1357" s="438"/>
      <c r="E1357" s="954" t="s">
        <v>438</v>
      </c>
      <c r="F1357" s="985"/>
      <c r="G1357" s="973"/>
      <c r="H1357" s="973"/>
      <c r="I1357" s="973"/>
      <c r="J1357" s="973"/>
      <c r="K1357" s="383"/>
      <c r="L1357" s="955"/>
      <c r="M1357" s="955"/>
      <c r="N1357" s="983">
        <v>0</v>
      </c>
      <c r="O1357" s="981"/>
      <c r="P1357" s="772"/>
      <c r="Q1357" s="812"/>
      <c r="R1357" s="953"/>
    </row>
    <row r="1358" spans="1:18" s="440" customFormat="1" ht="36" customHeight="1">
      <c r="A1358" s="984"/>
      <c r="B1358" s="972"/>
      <c r="C1358" s="450"/>
      <c r="D1358" s="438"/>
      <c r="E1358" s="954" t="s">
        <v>516</v>
      </c>
      <c r="F1358" s="985"/>
      <c r="G1358" s="973"/>
      <c r="H1358" s="973"/>
      <c r="I1358" s="973"/>
      <c r="J1358" s="973"/>
      <c r="K1358" s="383"/>
      <c r="L1358" s="955"/>
      <c r="M1358" s="955"/>
      <c r="N1358" s="983">
        <v>0</v>
      </c>
      <c r="O1358" s="981"/>
      <c r="P1358" s="772"/>
      <c r="Q1358" s="812"/>
      <c r="R1358" s="953"/>
    </row>
    <row r="1359" spans="1:18" s="440" customFormat="1" ht="36" customHeight="1">
      <c r="A1359" s="984"/>
      <c r="B1359" s="972"/>
      <c r="C1359" s="450"/>
      <c r="D1359" s="438"/>
      <c r="E1359" s="954" t="s">
        <v>439</v>
      </c>
      <c r="F1359" s="985"/>
      <c r="G1359" s="973"/>
      <c r="H1359" s="973"/>
      <c r="I1359" s="973"/>
      <c r="J1359" s="973"/>
      <c r="K1359" s="383"/>
      <c r="L1359" s="955"/>
      <c r="M1359" s="955"/>
      <c r="N1359" s="983">
        <v>0</v>
      </c>
      <c r="O1359" s="981"/>
      <c r="P1359" s="772"/>
      <c r="Q1359" s="812"/>
      <c r="R1359" s="953"/>
    </row>
    <row r="1360" spans="1:18" s="440" customFormat="1" ht="36" customHeight="1">
      <c r="A1360" s="984"/>
      <c r="B1360" s="972"/>
      <c r="C1360" s="450"/>
      <c r="D1360" s="438"/>
      <c r="E1360" s="954" t="s">
        <v>440</v>
      </c>
      <c r="F1360" s="985"/>
      <c r="G1360" s="973"/>
      <c r="H1360" s="973"/>
      <c r="I1360" s="973"/>
      <c r="J1360" s="973"/>
      <c r="K1360" s="383"/>
      <c r="L1360" s="955"/>
      <c r="M1360" s="955"/>
      <c r="N1360" s="983">
        <v>0</v>
      </c>
      <c r="O1360" s="981"/>
      <c r="P1360" s="772"/>
      <c r="Q1360" s="812"/>
      <c r="R1360" s="953"/>
    </row>
    <row r="1361" spans="1:18" s="440" customFormat="1" ht="36" customHeight="1">
      <c r="A1361" s="984"/>
      <c r="B1361" s="972"/>
      <c r="C1361" s="450"/>
      <c r="D1361" s="438"/>
      <c r="E1361" s="954" t="s">
        <v>590</v>
      </c>
      <c r="F1361" s="985"/>
      <c r="G1361" s="973"/>
      <c r="H1361" s="973"/>
      <c r="I1361" s="973"/>
      <c r="J1361" s="973"/>
      <c r="K1361" s="383"/>
      <c r="L1361" s="955"/>
      <c r="M1361" s="955"/>
      <c r="N1361" s="983">
        <v>0</v>
      </c>
      <c r="O1361" s="981"/>
      <c r="P1361" s="772"/>
      <c r="Q1361" s="812"/>
      <c r="R1361" s="953"/>
    </row>
    <row r="1362" spans="1:18" s="440" customFormat="1" ht="39" customHeight="1">
      <c r="A1362" s="984"/>
      <c r="B1362" s="972"/>
      <c r="C1362" s="450"/>
      <c r="D1362" s="438"/>
      <c r="E1362" s="954" t="s">
        <v>491</v>
      </c>
      <c r="F1362" s="985"/>
      <c r="G1362" s="973"/>
      <c r="H1362" s="973"/>
      <c r="I1362" s="973"/>
      <c r="J1362" s="973"/>
      <c r="K1362" s="383"/>
      <c r="L1362" s="955"/>
      <c r="M1362" s="955"/>
      <c r="N1362" s="983">
        <v>0</v>
      </c>
      <c r="O1362" s="981"/>
      <c r="P1362" s="772"/>
      <c r="Q1362" s="812"/>
      <c r="R1362" s="953"/>
    </row>
    <row r="1363" spans="1:18" s="440" customFormat="1" ht="36" customHeight="1">
      <c r="A1363" s="984"/>
      <c r="B1363" s="972"/>
      <c r="C1363" s="450"/>
      <c r="D1363" s="438"/>
      <c r="E1363" s="954" t="s">
        <v>442</v>
      </c>
      <c r="F1363" s="985"/>
      <c r="G1363" s="973"/>
      <c r="H1363" s="973"/>
      <c r="I1363" s="973"/>
      <c r="J1363" s="973"/>
      <c r="K1363" s="383"/>
      <c r="L1363" s="955"/>
      <c r="M1363" s="955"/>
      <c r="N1363" s="983">
        <v>0</v>
      </c>
      <c r="O1363" s="981"/>
      <c r="P1363" s="772"/>
      <c r="Q1363" s="812"/>
      <c r="R1363" s="953"/>
    </row>
    <row r="1364" spans="1:18" s="440" customFormat="1" ht="36" customHeight="1">
      <c r="A1364" s="984"/>
      <c r="B1364" s="972"/>
      <c r="C1364" s="450"/>
      <c r="D1364" s="438"/>
      <c r="E1364" s="954" t="s">
        <v>443</v>
      </c>
      <c r="F1364" s="985"/>
      <c r="G1364" s="973"/>
      <c r="H1364" s="973"/>
      <c r="I1364" s="973"/>
      <c r="J1364" s="973"/>
      <c r="K1364" s="383"/>
      <c r="L1364" s="955"/>
      <c r="M1364" s="955"/>
      <c r="N1364" s="983">
        <v>0</v>
      </c>
      <c r="O1364" s="981"/>
      <c r="P1364" s="772"/>
      <c r="Q1364" s="812"/>
      <c r="R1364" s="953"/>
    </row>
    <row r="1365" spans="1:18" s="440" customFormat="1" ht="36" customHeight="1">
      <c r="A1365" s="984"/>
      <c r="B1365" s="972"/>
      <c r="C1365" s="450"/>
      <c r="D1365" s="438"/>
      <c r="E1365" s="954" t="s">
        <v>485</v>
      </c>
      <c r="F1365" s="985"/>
      <c r="G1365" s="973"/>
      <c r="H1365" s="973"/>
      <c r="I1365" s="973"/>
      <c r="J1365" s="973"/>
      <c r="K1365" s="383"/>
      <c r="L1365" s="955"/>
      <c r="M1365" s="955"/>
      <c r="N1365" s="983">
        <v>0</v>
      </c>
      <c r="O1365" s="981"/>
      <c r="P1365" s="772"/>
      <c r="Q1365" s="812"/>
      <c r="R1365" s="953"/>
    </row>
    <row r="1366" spans="1:18" s="440" customFormat="1" ht="36" customHeight="1">
      <c r="A1366" s="984"/>
      <c r="B1366" s="972"/>
      <c r="C1366" s="450"/>
      <c r="D1366" s="438"/>
      <c r="E1366" s="954" t="s">
        <v>445</v>
      </c>
      <c r="F1366" s="985"/>
      <c r="G1366" s="973"/>
      <c r="H1366" s="973"/>
      <c r="I1366" s="973"/>
      <c r="J1366" s="973"/>
      <c r="K1366" s="383"/>
      <c r="L1366" s="955"/>
      <c r="M1366" s="955"/>
      <c r="N1366" s="983">
        <v>0</v>
      </c>
      <c r="O1366" s="981"/>
      <c r="P1366" s="772"/>
      <c r="Q1366" s="812"/>
      <c r="R1366" s="953"/>
    </row>
    <row r="1367" spans="1:18" s="440" customFormat="1" ht="36" customHeight="1">
      <c r="A1367" s="984"/>
      <c r="B1367" s="972"/>
      <c r="C1367" s="450"/>
      <c r="D1367" s="438"/>
      <c r="E1367" s="954" t="s">
        <v>446</v>
      </c>
      <c r="F1367" s="985"/>
      <c r="G1367" s="973"/>
      <c r="H1367" s="973"/>
      <c r="I1367" s="973"/>
      <c r="J1367" s="973"/>
      <c r="K1367" s="383"/>
      <c r="L1367" s="955"/>
      <c r="M1367" s="955"/>
      <c r="N1367" s="983">
        <v>11404.92</v>
      </c>
      <c r="O1367" s="981"/>
      <c r="P1367" s="772"/>
      <c r="Q1367" s="812"/>
      <c r="R1367" s="953"/>
    </row>
    <row r="1368" spans="1:18" s="440" customFormat="1" ht="57" customHeight="1">
      <c r="A1368" s="984"/>
      <c r="B1368" s="972"/>
      <c r="C1368" s="986"/>
      <c r="D1368" s="438"/>
      <c r="E1368" s="945" t="s">
        <v>418</v>
      </c>
      <c r="F1368" s="949">
        <v>117300</v>
      </c>
      <c r="G1368" s="949">
        <v>111778</v>
      </c>
      <c r="H1368" s="949">
        <v>74715.13</v>
      </c>
      <c r="I1368" s="973"/>
      <c r="J1368" s="973"/>
      <c r="K1368" s="529"/>
      <c r="L1368" s="949">
        <v>52596</v>
      </c>
      <c r="M1368" s="949">
        <v>52596</v>
      </c>
      <c r="N1368" s="977">
        <f>SUM(N1369:N1389)</f>
        <v>24996.41</v>
      </c>
      <c r="O1368" s="978">
        <f>N1368/M1368</f>
        <v>0.47525306106928283</v>
      </c>
      <c r="P1368" s="772" t="s">
        <v>395</v>
      </c>
      <c r="Q1368" s="812"/>
      <c r="R1368" s="953"/>
    </row>
    <row r="1369" spans="1:18" s="440" customFormat="1" ht="52.5" customHeight="1">
      <c r="A1369" s="984"/>
      <c r="B1369" s="972"/>
      <c r="C1369" s="986"/>
      <c r="D1369" s="438"/>
      <c r="E1369" s="957" t="s">
        <v>447</v>
      </c>
      <c r="F1369" s="958"/>
      <c r="G1369" s="958"/>
      <c r="H1369" s="958">
        <v>0</v>
      </c>
      <c r="I1369" s="973"/>
      <c r="J1369" s="973"/>
      <c r="K1369" s="529"/>
      <c r="L1369" s="958"/>
      <c r="M1369" s="958"/>
      <c r="N1369" s="983">
        <v>6.3</v>
      </c>
      <c r="O1369" s="981"/>
      <c r="P1369" s="772"/>
      <c r="Q1369" s="812"/>
      <c r="R1369" s="953"/>
    </row>
    <row r="1370" spans="1:18" s="440" customFormat="1" ht="36" customHeight="1">
      <c r="A1370" s="984"/>
      <c r="B1370" s="972"/>
      <c r="C1370" s="450"/>
      <c r="D1370" s="438"/>
      <c r="E1370" s="957" t="s">
        <v>591</v>
      </c>
      <c r="F1370" s="958"/>
      <c r="G1370" s="958"/>
      <c r="H1370" s="958">
        <v>0</v>
      </c>
      <c r="I1370" s="973"/>
      <c r="J1370" s="973"/>
      <c r="K1370" s="529"/>
      <c r="L1370" s="958"/>
      <c r="M1370" s="958"/>
      <c r="N1370" s="983">
        <v>0</v>
      </c>
      <c r="O1370" s="981"/>
      <c r="P1370" s="772"/>
      <c r="Q1370" s="812"/>
      <c r="R1370" s="953"/>
    </row>
    <row r="1371" spans="1:18" s="440" customFormat="1" ht="36" customHeight="1">
      <c r="A1371" s="984"/>
      <c r="B1371" s="972"/>
      <c r="C1371" s="450"/>
      <c r="D1371" s="438"/>
      <c r="E1371" s="957" t="s">
        <v>449</v>
      </c>
      <c r="F1371" s="958"/>
      <c r="G1371" s="958"/>
      <c r="H1371" s="958">
        <v>0</v>
      </c>
      <c r="I1371" s="973"/>
      <c r="J1371" s="973"/>
      <c r="K1371" s="529"/>
      <c r="L1371" s="958"/>
      <c r="M1371" s="958"/>
      <c r="N1371" s="983">
        <v>0</v>
      </c>
      <c r="O1371" s="981"/>
      <c r="P1371" s="772"/>
      <c r="Q1371" s="812"/>
      <c r="R1371" s="953"/>
    </row>
    <row r="1372" spans="1:18" s="440" customFormat="1" ht="36" customHeight="1">
      <c r="A1372" s="984"/>
      <c r="B1372" s="972"/>
      <c r="C1372" s="450"/>
      <c r="D1372" s="438"/>
      <c r="E1372" s="957" t="s">
        <v>450</v>
      </c>
      <c r="F1372" s="958"/>
      <c r="G1372" s="958"/>
      <c r="H1372" s="958">
        <v>0</v>
      </c>
      <c r="I1372" s="973"/>
      <c r="J1372" s="973"/>
      <c r="K1372" s="529"/>
      <c r="L1372" s="958"/>
      <c r="M1372" s="958"/>
      <c r="N1372" s="983">
        <v>0</v>
      </c>
      <c r="O1372" s="981"/>
      <c r="P1372" s="772"/>
      <c r="Q1372" s="812"/>
      <c r="R1372" s="953"/>
    </row>
    <row r="1373" spans="1:18" s="440" customFormat="1" ht="36" customHeight="1">
      <c r="A1373" s="984"/>
      <c r="B1373" s="972"/>
      <c r="C1373" s="450"/>
      <c r="D1373" s="438"/>
      <c r="E1373" s="957" t="s">
        <v>451</v>
      </c>
      <c r="F1373" s="958"/>
      <c r="G1373" s="958"/>
      <c r="H1373" s="958">
        <v>0</v>
      </c>
      <c r="I1373" s="973"/>
      <c r="J1373" s="973"/>
      <c r="K1373" s="529"/>
      <c r="L1373" s="958"/>
      <c r="M1373" s="958"/>
      <c r="N1373" s="983">
        <v>0</v>
      </c>
      <c r="O1373" s="981"/>
      <c r="P1373" s="772"/>
      <c r="Q1373" s="812"/>
      <c r="R1373" s="953"/>
    </row>
    <row r="1374" spans="1:18" s="440" customFormat="1" ht="36" customHeight="1">
      <c r="A1374" s="984"/>
      <c r="B1374" s="972"/>
      <c r="C1374" s="450"/>
      <c r="D1374" s="438"/>
      <c r="E1374" s="957" t="s">
        <v>486</v>
      </c>
      <c r="F1374" s="958"/>
      <c r="G1374" s="958"/>
      <c r="H1374" s="958">
        <v>4300</v>
      </c>
      <c r="I1374" s="973"/>
      <c r="J1374" s="973"/>
      <c r="K1374" s="529"/>
      <c r="L1374" s="958"/>
      <c r="M1374" s="958"/>
      <c r="N1374" s="983">
        <v>14295.07</v>
      </c>
      <c r="O1374" s="981"/>
      <c r="P1374" s="772"/>
      <c r="Q1374" s="812"/>
      <c r="R1374" s="953"/>
    </row>
    <row r="1375" spans="1:18" s="440" customFormat="1" ht="84" customHeight="1">
      <c r="A1375" s="984"/>
      <c r="B1375" s="972"/>
      <c r="C1375" s="450"/>
      <c r="D1375" s="438"/>
      <c r="E1375" s="957" t="s">
        <v>452</v>
      </c>
      <c r="F1375" s="958"/>
      <c r="G1375" s="958"/>
      <c r="H1375" s="958">
        <v>0</v>
      </c>
      <c r="I1375" s="973"/>
      <c r="J1375" s="973"/>
      <c r="K1375" s="529"/>
      <c r="L1375" s="958"/>
      <c r="M1375" s="958"/>
      <c r="N1375" s="983">
        <v>0</v>
      </c>
      <c r="O1375" s="981"/>
      <c r="P1375" s="772"/>
      <c r="Q1375" s="812"/>
      <c r="R1375" s="953"/>
    </row>
    <row r="1376" spans="1:18" s="440" customFormat="1" ht="54.75" customHeight="1">
      <c r="A1376" s="984"/>
      <c r="B1376" s="972"/>
      <c r="C1376" s="450"/>
      <c r="D1376" s="438"/>
      <c r="E1376" s="957" t="s">
        <v>453</v>
      </c>
      <c r="F1376" s="958"/>
      <c r="G1376" s="958"/>
      <c r="H1376" s="958">
        <v>0</v>
      </c>
      <c r="I1376" s="973"/>
      <c r="J1376" s="973"/>
      <c r="K1376" s="529"/>
      <c r="L1376" s="958"/>
      <c r="M1376" s="958"/>
      <c r="N1376" s="983">
        <v>0</v>
      </c>
      <c r="O1376" s="981"/>
      <c r="P1376" s="772"/>
      <c r="Q1376" s="812"/>
      <c r="R1376" s="953"/>
    </row>
    <row r="1377" spans="1:18" s="440" customFormat="1" ht="36" customHeight="1">
      <c r="A1377" s="984"/>
      <c r="B1377" s="972"/>
      <c r="C1377" s="450"/>
      <c r="D1377" s="438"/>
      <c r="E1377" s="957" t="s">
        <v>454</v>
      </c>
      <c r="F1377" s="958"/>
      <c r="G1377" s="958"/>
      <c r="H1377" s="958">
        <v>0</v>
      </c>
      <c r="I1377" s="973"/>
      <c r="J1377" s="973"/>
      <c r="K1377" s="529"/>
      <c r="L1377" s="958"/>
      <c r="M1377" s="958"/>
      <c r="N1377" s="983">
        <v>0</v>
      </c>
      <c r="O1377" s="981"/>
      <c r="P1377" s="772"/>
      <c r="Q1377" s="812"/>
      <c r="R1377" s="953"/>
    </row>
    <row r="1378" spans="1:18" s="440" customFormat="1" ht="54.75" customHeight="1">
      <c r="A1378" s="984"/>
      <c r="B1378" s="972"/>
      <c r="C1378" s="450"/>
      <c r="D1378" s="438"/>
      <c r="E1378" s="957" t="s">
        <v>455</v>
      </c>
      <c r="F1378" s="958"/>
      <c r="G1378" s="958"/>
      <c r="H1378" s="958">
        <v>0</v>
      </c>
      <c r="I1378" s="973"/>
      <c r="J1378" s="973"/>
      <c r="K1378" s="529"/>
      <c r="L1378" s="958"/>
      <c r="M1378" s="958"/>
      <c r="N1378" s="983">
        <v>0</v>
      </c>
      <c r="O1378" s="981"/>
      <c r="P1378" s="772"/>
      <c r="Q1378" s="812"/>
      <c r="R1378" s="953"/>
    </row>
    <row r="1379" spans="1:18" s="440" customFormat="1" ht="36" customHeight="1">
      <c r="A1379" s="984"/>
      <c r="B1379" s="972"/>
      <c r="C1379" s="450"/>
      <c r="D1379" s="438"/>
      <c r="E1379" s="957" t="s">
        <v>456</v>
      </c>
      <c r="F1379" s="958"/>
      <c r="G1379" s="958"/>
      <c r="H1379" s="958">
        <v>0</v>
      </c>
      <c r="I1379" s="973"/>
      <c r="J1379" s="973"/>
      <c r="K1379" s="529"/>
      <c r="L1379" s="958"/>
      <c r="M1379" s="958"/>
      <c r="N1379" s="983">
        <v>0</v>
      </c>
      <c r="O1379" s="981"/>
      <c r="P1379" s="772"/>
      <c r="Q1379" s="812"/>
      <c r="R1379" s="953"/>
    </row>
    <row r="1380" spans="1:18" s="440" customFormat="1" ht="54.75" customHeight="1">
      <c r="A1380" s="984"/>
      <c r="B1380" s="972"/>
      <c r="C1380" s="450"/>
      <c r="D1380" s="438"/>
      <c r="E1380" s="957" t="s">
        <v>457</v>
      </c>
      <c r="F1380" s="958"/>
      <c r="G1380" s="958"/>
      <c r="H1380" s="958">
        <v>0</v>
      </c>
      <c r="I1380" s="973"/>
      <c r="J1380" s="973"/>
      <c r="K1380" s="529"/>
      <c r="L1380" s="958"/>
      <c r="M1380" s="958"/>
      <c r="N1380" s="983">
        <v>0</v>
      </c>
      <c r="O1380" s="981"/>
      <c r="P1380" s="772"/>
      <c r="Q1380" s="812"/>
      <c r="R1380" s="953"/>
    </row>
    <row r="1381" spans="1:18" s="440" customFormat="1" ht="36" customHeight="1">
      <c r="A1381" s="984"/>
      <c r="B1381" s="972"/>
      <c r="C1381" s="450"/>
      <c r="D1381" s="438"/>
      <c r="E1381" s="957" t="s">
        <v>458</v>
      </c>
      <c r="F1381" s="961"/>
      <c r="G1381" s="961"/>
      <c r="H1381" s="958">
        <v>32231.32</v>
      </c>
      <c r="I1381" s="973"/>
      <c r="J1381" s="973"/>
      <c r="K1381" s="529"/>
      <c r="L1381" s="961"/>
      <c r="M1381" s="961"/>
      <c r="N1381" s="983">
        <v>0</v>
      </c>
      <c r="O1381" s="981"/>
      <c r="P1381" s="772"/>
      <c r="Q1381" s="812"/>
      <c r="R1381" s="953"/>
    </row>
    <row r="1382" spans="1:18" s="440" customFormat="1" ht="36" customHeight="1">
      <c r="A1382" s="984"/>
      <c r="B1382" s="972"/>
      <c r="C1382" s="450"/>
      <c r="D1382" s="438"/>
      <c r="E1382" s="957" t="s">
        <v>459</v>
      </c>
      <c r="F1382" s="961"/>
      <c r="G1382" s="961"/>
      <c r="H1382" s="958">
        <v>0</v>
      </c>
      <c r="I1382" s="973"/>
      <c r="J1382" s="973"/>
      <c r="K1382" s="529"/>
      <c r="L1382" s="961"/>
      <c r="M1382" s="961"/>
      <c r="N1382" s="983">
        <v>0</v>
      </c>
      <c r="O1382" s="981"/>
      <c r="P1382" s="772"/>
      <c r="Q1382" s="812"/>
      <c r="R1382" s="953"/>
    </row>
    <row r="1383" spans="1:18" s="440" customFormat="1" ht="36" customHeight="1">
      <c r="A1383" s="984"/>
      <c r="B1383" s="972"/>
      <c r="C1383" s="450"/>
      <c r="D1383" s="438"/>
      <c r="E1383" s="957" t="s">
        <v>460</v>
      </c>
      <c r="F1383" s="961"/>
      <c r="G1383" s="961"/>
      <c r="H1383" s="958">
        <v>692</v>
      </c>
      <c r="I1383" s="973"/>
      <c r="J1383" s="973"/>
      <c r="K1383" s="529"/>
      <c r="L1383" s="961"/>
      <c r="M1383" s="961"/>
      <c r="N1383" s="983">
        <v>0</v>
      </c>
      <c r="O1383" s="981"/>
      <c r="P1383" s="772"/>
      <c r="Q1383" s="812"/>
      <c r="R1383" s="953"/>
    </row>
    <row r="1384" spans="1:18" s="440" customFormat="1" ht="36" customHeight="1">
      <c r="A1384" s="984"/>
      <c r="B1384" s="972"/>
      <c r="C1384" s="450"/>
      <c r="D1384" s="438"/>
      <c r="E1384" s="957" t="s">
        <v>461</v>
      </c>
      <c r="F1384" s="961"/>
      <c r="G1384" s="961"/>
      <c r="H1384" s="958">
        <v>35817</v>
      </c>
      <c r="I1384" s="973"/>
      <c r="J1384" s="973"/>
      <c r="K1384" s="529"/>
      <c r="L1384" s="961"/>
      <c r="M1384" s="961"/>
      <c r="N1384" s="983">
        <v>9750</v>
      </c>
      <c r="O1384" s="981"/>
      <c r="P1384" s="772"/>
      <c r="Q1384" s="812"/>
      <c r="R1384" s="953"/>
    </row>
    <row r="1385" spans="1:18" s="440" customFormat="1" ht="36" customHeight="1">
      <c r="A1385" s="984"/>
      <c r="B1385" s="972"/>
      <c r="C1385" s="450"/>
      <c r="D1385" s="438"/>
      <c r="E1385" s="957" t="s">
        <v>462</v>
      </c>
      <c r="F1385" s="961"/>
      <c r="G1385" s="961"/>
      <c r="H1385" s="958">
        <v>0</v>
      </c>
      <c r="I1385" s="973"/>
      <c r="J1385" s="973"/>
      <c r="K1385" s="529"/>
      <c r="L1385" s="961"/>
      <c r="M1385" s="961"/>
      <c r="N1385" s="983">
        <v>0</v>
      </c>
      <c r="O1385" s="981"/>
      <c r="P1385" s="772"/>
      <c r="Q1385" s="812"/>
      <c r="R1385" s="953"/>
    </row>
    <row r="1386" spans="1:18" s="440" customFormat="1" ht="54.75" customHeight="1">
      <c r="A1386" s="984"/>
      <c r="B1386" s="972"/>
      <c r="C1386" s="450"/>
      <c r="D1386" s="438"/>
      <c r="E1386" s="957" t="s">
        <v>463</v>
      </c>
      <c r="F1386" s="961"/>
      <c r="G1386" s="961"/>
      <c r="H1386" s="958">
        <v>0</v>
      </c>
      <c r="I1386" s="973"/>
      <c r="J1386" s="973"/>
      <c r="K1386" s="529"/>
      <c r="L1386" s="961"/>
      <c r="M1386" s="961"/>
      <c r="N1386" s="983">
        <v>945.04</v>
      </c>
      <c r="O1386" s="981"/>
      <c r="P1386" s="772"/>
      <c r="Q1386" s="812"/>
      <c r="R1386" s="953"/>
    </row>
    <row r="1387" spans="1:18" s="440" customFormat="1" ht="36" customHeight="1">
      <c r="A1387" s="984"/>
      <c r="B1387" s="972"/>
      <c r="C1387" s="450"/>
      <c r="D1387" s="438"/>
      <c r="E1387" s="957" t="s">
        <v>464</v>
      </c>
      <c r="F1387" s="961"/>
      <c r="G1387" s="961"/>
      <c r="H1387" s="958">
        <v>0</v>
      </c>
      <c r="I1387" s="973"/>
      <c r="J1387" s="973"/>
      <c r="K1387" s="529"/>
      <c r="L1387" s="961"/>
      <c r="M1387" s="961"/>
      <c r="N1387" s="983">
        <v>0</v>
      </c>
      <c r="O1387" s="981"/>
      <c r="P1387" s="772"/>
      <c r="Q1387" s="812"/>
      <c r="R1387" s="953"/>
    </row>
    <row r="1388" spans="1:18" s="440" customFormat="1" ht="36" customHeight="1">
      <c r="A1388" s="984"/>
      <c r="B1388" s="972"/>
      <c r="C1388" s="450"/>
      <c r="D1388" s="438"/>
      <c r="E1388" s="957" t="s">
        <v>465</v>
      </c>
      <c r="F1388" s="961"/>
      <c r="G1388" s="961"/>
      <c r="H1388" s="958">
        <v>0</v>
      </c>
      <c r="I1388" s="973"/>
      <c r="J1388" s="973"/>
      <c r="K1388" s="529"/>
      <c r="L1388" s="961"/>
      <c r="M1388" s="961"/>
      <c r="N1388" s="983">
        <v>0</v>
      </c>
      <c r="O1388" s="981"/>
      <c r="P1388" s="772"/>
      <c r="Q1388" s="812"/>
      <c r="R1388" s="953"/>
    </row>
    <row r="1389" spans="1:18" s="440" customFormat="1" ht="36" customHeight="1">
      <c r="A1389" s="984"/>
      <c r="B1389" s="972"/>
      <c r="C1389" s="450"/>
      <c r="D1389" s="438"/>
      <c r="E1389" s="957" t="s">
        <v>466</v>
      </c>
      <c r="F1389" s="961"/>
      <c r="G1389" s="961"/>
      <c r="H1389" s="958">
        <v>1674.81</v>
      </c>
      <c r="I1389" s="973"/>
      <c r="J1389" s="973"/>
      <c r="K1389" s="529"/>
      <c r="L1389" s="961"/>
      <c r="M1389" s="961"/>
      <c r="N1389" s="983">
        <v>0</v>
      </c>
      <c r="O1389" s="981"/>
      <c r="P1389" s="772"/>
      <c r="Q1389" s="812"/>
      <c r="R1389" s="953"/>
    </row>
    <row r="1390" spans="1:18" s="440" customFormat="1" ht="57" customHeight="1">
      <c r="A1390" s="984"/>
      <c r="B1390" s="972"/>
      <c r="C1390" s="986"/>
      <c r="D1390" s="438"/>
      <c r="E1390" s="945" t="s">
        <v>467</v>
      </c>
      <c r="F1390" s="949">
        <v>117300</v>
      </c>
      <c r="G1390" s="949">
        <v>111778</v>
      </c>
      <c r="H1390" s="949">
        <v>74715.13</v>
      </c>
      <c r="I1390" s="973"/>
      <c r="J1390" s="973"/>
      <c r="K1390" s="529"/>
      <c r="L1390" s="949">
        <v>0</v>
      </c>
      <c r="M1390" s="949">
        <v>0</v>
      </c>
      <c r="N1390" s="949">
        <v>0</v>
      </c>
      <c r="O1390" s="978">
        <v>0</v>
      </c>
      <c r="P1390" s="772" t="s">
        <v>395</v>
      </c>
      <c r="Q1390" s="812"/>
      <c r="R1390" s="953"/>
    </row>
    <row r="1391" spans="1:18" s="440" customFormat="1" ht="93.75" customHeight="1">
      <c r="A1391" s="424"/>
      <c r="B1391" s="214"/>
      <c r="C1391" s="453" t="s">
        <v>52</v>
      </c>
      <c r="D1391" s="282"/>
      <c r="E1391" s="461" t="s">
        <v>57</v>
      </c>
      <c r="F1391" s="521"/>
      <c r="G1391" s="281"/>
      <c r="H1391" s="281"/>
      <c r="I1391" s="281"/>
      <c r="J1391" s="277"/>
      <c r="K1391" s="452">
        <v>20000</v>
      </c>
      <c r="L1391" s="452">
        <f>SUM(F1391:K1391)</f>
        <v>20000</v>
      </c>
      <c r="M1391" s="452">
        <v>20200</v>
      </c>
      <c r="N1391" s="452">
        <v>9950.16</v>
      </c>
      <c r="O1391" s="873">
        <f>N1391/M1391</f>
        <v>0.4925821782178218</v>
      </c>
      <c r="P1391" s="772" t="s">
        <v>395</v>
      </c>
      <c r="Q1391" s="656"/>
    </row>
    <row r="1392" spans="1:18" s="274" customFormat="1" ht="98.25" customHeight="1">
      <c r="A1392" s="429"/>
      <c r="B1392" s="75">
        <v>80153</v>
      </c>
      <c r="C1392" s="74"/>
      <c r="D1392" s="176"/>
      <c r="E1392" s="175" t="s">
        <v>381</v>
      </c>
      <c r="F1392" s="409">
        <f t="shared" ref="F1392:J1392" si="114">F1398</f>
        <v>0</v>
      </c>
      <c r="G1392" s="92">
        <f t="shared" si="114"/>
        <v>0</v>
      </c>
      <c r="H1392" s="92">
        <f t="shared" si="114"/>
        <v>970089.2</v>
      </c>
      <c r="I1392" s="92">
        <f t="shared" si="114"/>
        <v>0</v>
      </c>
      <c r="J1392" s="92">
        <f t="shared" si="114"/>
        <v>0</v>
      </c>
      <c r="K1392" s="92">
        <f>K1398+K1405</f>
        <v>1987582</v>
      </c>
      <c r="L1392" s="92">
        <v>0</v>
      </c>
      <c r="M1392" s="92">
        <f>M1393</f>
        <v>190200.9</v>
      </c>
      <c r="N1392" s="92">
        <f>N1393</f>
        <v>12414.6</v>
      </c>
      <c r="O1392" s="755">
        <f>N1392/M1392</f>
        <v>6.5270984522155268E-2</v>
      </c>
      <c r="P1392" s="786" t="s">
        <v>395</v>
      </c>
      <c r="Q1392" s="669"/>
    </row>
    <row r="1393" spans="1:17" s="440" customFormat="1" ht="228" customHeight="1">
      <c r="A1393" s="424"/>
      <c r="B1393" s="214"/>
      <c r="C1393" s="453">
        <v>1</v>
      </c>
      <c r="D1393" s="282"/>
      <c r="E1393" s="457" t="s">
        <v>382</v>
      </c>
      <c r="F1393" s="521"/>
      <c r="G1393" s="281"/>
      <c r="H1393" s="281"/>
      <c r="I1393" s="281"/>
      <c r="J1393" s="277"/>
      <c r="K1393" s="451">
        <v>20000</v>
      </c>
      <c r="L1393" s="451">
        <v>0</v>
      </c>
      <c r="M1393" s="451">
        <f>M1394+M1395+M1396+M1397</f>
        <v>190200.9</v>
      </c>
      <c r="N1393" s="451">
        <f>N1394+N1395+N1396+N1397</f>
        <v>12414.6</v>
      </c>
      <c r="O1393" s="837">
        <f>N1393/M1393</f>
        <v>6.5270984522155268E-2</v>
      </c>
      <c r="P1393" s="772" t="s">
        <v>395</v>
      </c>
      <c r="Q1393" s="656"/>
    </row>
    <row r="1394" spans="1:17" s="266" customFormat="1" ht="39.9" customHeight="1">
      <c r="A1394" s="488"/>
      <c r="B1394" s="260"/>
      <c r="C1394" s="450"/>
      <c r="D1394" s="259" t="s">
        <v>0</v>
      </c>
      <c r="E1394" s="258" t="s">
        <v>44</v>
      </c>
      <c r="F1394" s="517"/>
      <c r="G1394" s="212"/>
      <c r="H1394" s="212"/>
      <c r="I1394" s="212"/>
      <c r="J1394" s="257"/>
      <c r="K1394" s="105">
        <v>115882</v>
      </c>
      <c r="L1394" s="105">
        <v>0</v>
      </c>
      <c r="M1394" s="105">
        <v>12414.6</v>
      </c>
      <c r="N1394" s="105">
        <v>12414.6</v>
      </c>
      <c r="O1394" s="846">
        <f>N1394/M1394</f>
        <v>1</v>
      </c>
      <c r="P1394" s="789" t="s">
        <v>395</v>
      </c>
      <c r="Q1394" s="673"/>
    </row>
    <row r="1395" spans="1:17" s="266" customFormat="1" ht="39.9" customHeight="1">
      <c r="A1395" s="488"/>
      <c r="B1395" s="260"/>
      <c r="C1395" s="450"/>
      <c r="D1395" s="259" t="s">
        <v>0</v>
      </c>
      <c r="E1395" s="258" t="s">
        <v>221</v>
      </c>
      <c r="F1395" s="517"/>
      <c r="G1395" s="212"/>
      <c r="H1395" s="212"/>
      <c r="I1395" s="212"/>
      <c r="J1395" s="257"/>
      <c r="K1395" s="105">
        <v>115882</v>
      </c>
      <c r="L1395" s="105">
        <v>0</v>
      </c>
      <c r="M1395" s="105">
        <v>91797.75</v>
      </c>
      <c r="N1395" s="105">
        <v>0</v>
      </c>
      <c r="O1395" s="846">
        <f t="shared" ref="O1395:O1397" si="115">N1395/M1395</f>
        <v>0</v>
      </c>
      <c r="P1395" s="789" t="s">
        <v>395</v>
      </c>
      <c r="Q1395" s="673"/>
    </row>
    <row r="1396" spans="1:17" s="266" customFormat="1" ht="39.9" customHeight="1">
      <c r="A1396" s="488"/>
      <c r="B1396" s="260"/>
      <c r="C1396" s="450"/>
      <c r="D1396" s="259" t="s">
        <v>0</v>
      </c>
      <c r="E1396" s="258" t="s">
        <v>284</v>
      </c>
      <c r="F1396" s="517"/>
      <c r="G1396" s="212"/>
      <c r="H1396" s="212"/>
      <c r="I1396" s="212"/>
      <c r="J1396" s="257"/>
      <c r="K1396" s="105">
        <v>115882</v>
      </c>
      <c r="L1396" s="105">
        <v>0</v>
      </c>
      <c r="M1396" s="105">
        <v>84105.45</v>
      </c>
      <c r="N1396" s="105">
        <v>0</v>
      </c>
      <c r="O1396" s="846">
        <f t="shared" si="115"/>
        <v>0</v>
      </c>
      <c r="P1396" s="789" t="s">
        <v>395</v>
      </c>
      <c r="Q1396" s="673"/>
    </row>
    <row r="1397" spans="1:17" s="266" customFormat="1" ht="39.9" customHeight="1">
      <c r="A1397" s="488"/>
      <c r="B1397" s="260"/>
      <c r="C1397" s="450"/>
      <c r="D1397" s="259" t="s">
        <v>0</v>
      </c>
      <c r="E1397" s="258" t="s">
        <v>42</v>
      </c>
      <c r="F1397" s="517"/>
      <c r="G1397" s="212"/>
      <c r="H1397" s="212"/>
      <c r="I1397" s="212"/>
      <c r="J1397" s="257"/>
      <c r="K1397" s="105">
        <v>115882</v>
      </c>
      <c r="L1397" s="105">
        <v>0</v>
      </c>
      <c r="M1397" s="105">
        <v>1883.1</v>
      </c>
      <c r="N1397" s="105">
        <v>0</v>
      </c>
      <c r="O1397" s="846">
        <f t="shared" si="115"/>
        <v>0</v>
      </c>
      <c r="P1397" s="789" t="s">
        <v>395</v>
      </c>
      <c r="Q1397" s="673"/>
    </row>
    <row r="1398" spans="1:17" s="268" customFormat="1" ht="61.5" customHeight="1">
      <c r="A1398" s="559"/>
      <c r="B1398" s="75">
        <v>80195</v>
      </c>
      <c r="C1398" s="74"/>
      <c r="D1398" s="73"/>
      <c r="E1398" s="72" t="s">
        <v>5</v>
      </c>
      <c r="F1398" s="409">
        <f t="shared" ref="F1398:K1398" si="116">F1399+F1400+F1404+F1409+F1410+F1412+F1413+F1415+F1414+F1416+F1417</f>
        <v>0</v>
      </c>
      <c r="G1398" s="409">
        <f t="shared" si="116"/>
        <v>0</v>
      </c>
      <c r="H1398" s="409">
        <f t="shared" si="116"/>
        <v>970089.2</v>
      </c>
      <c r="I1398" s="409">
        <f t="shared" si="116"/>
        <v>0</v>
      </c>
      <c r="J1398" s="409">
        <f t="shared" si="116"/>
        <v>0</v>
      </c>
      <c r="K1398" s="409">
        <f t="shared" si="116"/>
        <v>1987582</v>
      </c>
      <c r="L1398" s="92">
        <f>L1399+L1400+L1404+L1409+L1410+L1412+L1413+L1414+L1415+L1416+L1417+L1420</f>
        <v>2957671.2</v>
      </c>
      <c r="M1398" s="92">
        <f>M1399+M1400+M1404+M1409+M1410+M1412+M1413+M1414+M1415+M1416+M1417+M1420</f>
        <v>4295331.8</v>
      </c>
      <c r="N1398" s="92">
        <f>N1399+N1400+N1404+N1409+N1410+N1412+N1413+N1414+N1415+N1416+N1417+N1420</f>
        <v>491039.61000000004</v>
      </c>
      <c r="O1398" s="755">
        <f>N1398/M1398</f>
        <v>0.1143193664340436</v>
      </c>
      <c r="P1398" s="765" t="s">
        <v>395</v>
      </c>
      <c r="Q1398" s="651"/>
    </row>
    <row r="1399" spans="1:17" s="197" customFormat="1" ht="72.75" customHeight="1">
      <c r="A1399" s="559"/>
      <c r="B1399" s="199"/>
      <c r="C1399" s="210">
        <v>1</v>
      </c>
      <c r="D1399" s="267"/>
      <c r="E1399" s="223" t="s">
        <v>222</v>
      </c>
      <c r="F1399" s="415"/>
      <c r="G1399" s="414"/>
      <c r="H1399" s="414"/>
      <c r="I1399" s="414"/>
      <c r="J1399" s="414"/>
      <c r="K1399" s="414">
        <v>27000</v>
      </c>
      <c r="L1399" s="414">
        <f>SUM(F1399:K1399)</f>
        <v>27000</v>
      </c>
      <c r="M1399" s="414">
        <v>35000</v>
      </c>
      <c r="N1399" s="414">
        <v>20329.330000000002</v>
      </c>
      <c r="O1399" s="841">
        <f>N1399/M1399</f>
        <v>0.58083800000000008</v>
      </c>
      <c r="P1399" s="765" t="s">
        <v>395</v>
      </c>
      <c r="Q1399" s="651"/>
    </row>
    <row r="1400" spans="1:17" s="197" customFormat="1" ht="67.5" customHeight="1">
      <c r="A1400" s="559"/>
      <c r="B1400" s="199"/>
      <c r="C1400" s="198">
        <v>2</v>
      </c>
      <c r="D1400" s="115"/>
      <c r="E1400" s="111" t="s">
        <v>46</v>
      </c>
      <c r="F1400" s="205"/>
      <c r="G1400" s="451"/>
      <c r="H1400" s="451"/>
      <c r="I1400" s="451"/>
      <c r="J1400" s="451"/>
      <c r="K1400" s="452">
        <f>SUM(K1402:K1403)</f>
        <v>187189</v>
      </c>
      <c r="L1400" s="452">
        <f>L1402+L1403</f>
        <v>187189</v>
      </c>
      <c r="M1400" s="452">
        <f t="shared" ref="M1400:N1400" si="117">M1402+M1403</f>
        <v>187189</v>
      </c>
      <c r="N1400" s="452">
        <f t="shared" si="117"/>
        <v>140393</v>
      </c>
      <c r="O1400" s="873">
        <f>N1400/M1400</f>
        <v>0.75000667774281604</v>
      </c>
      <c r="P1400" s="765" t="s">
        <v>395</v>
      </c>
      <c r="Q1400" s="651"/>
    </row>
    <row r="1401" spans="1:17" s="261" customFormat="1" ht="30" customHeight="1">
      <c r="A1401" s="424"/>
      <c r="B1401" s="264"/>
      <c r="C1401" s="28"/>
      <c r="D1401" s="263"/>
      <c r="E1401" s="262" t="s">
        <v>13</v>
      </c>
      <c r="F1401" s="525"/>
      <c r="G1401" s="525"/>
      <c r="H1401" s="525"/>
      <c r="I1401" s="525"/>
      <c r="J1401" s="525"/>
      <c r="K1401" s="525"/>
      <c r="L1401" s="526"/>
      <c r="M1401" s="526"/>
      <c r="N1401" s="526"/>
      <c r="O1401" s="880"/>
      <c r="P1401" s="772"/>
      <c r="Q1401" s="656"/>
    </row>
    <row r="1402" spans="1:17" s="266" customFormat="1" ht="39.9" customHeight="1">
      <c r="A1402" s="488"/>
      <c r="B1402" s="260"/>
      <c r="C1402" s="213"/>
      <c r="D1402" s="259" t="s">
        <v>0</v>
      </c>
      <c r="E1402" s="258" t="s">
        <v>221</v>
      </c>
      <c r="F1402" s="517"/>
      <c r="G1402" s="212"/>
      <c r="H1402" s="212"/>
      <c r="I1402" s="212"/>
      <c r="J1402" s="257"/>
      <c r="K1402" s="105">
        <v>115882</v>
      </c>
      <c r="L1402" s="105">
        <f>SUM(F1402:K1402)</f>
        <v>115882</v>
      </c>
      <c r="M1402" s="105">
        <v>115882</v>
      </c>
      <c r="N1402" s="105">
        <v>86912</v>
      </c>
      <c r="O1402" s="846">
        <f>N1402/M1402</f>
        <v>0.75000431473395346</v>
      </c>
      <c r="P1402" s="789" t="s">
        <v>395</v>
      </c>
      <c r="Q1402" s="673"/>
    </row>
    <row r="1403" spans="1:17" s="256" customFormat="1" ht="39.9" customHeight="1">
      <c r="A1403" s="488"/>
      <c r="B1403" s="260"/>
      <c r="C1403" s="213"/>
      <c r="D1403" s="259" t="s">
        <v>0</v>
      </c>
      <c r="E1403" s="166" t="s">
        <v>284</v>
      </c>
      <c r="F1403" s="517"/>
      <c r="G1403" s="212"/>
      <c r="H1403" s="212"/>
      <c r="I1403" s="212"/>
      <c r="J1403" s="257"/>
      <c r="K1403" s="105">
        <v>71307</v>
      </c>
      <c r="L1403" s="105">
        <f>SUM(F1403:K1403)</f>
        <v>71307</v>
      </c>
      <c r="M1403" s="105">
        <v>71307</v>
      </c>
      <c r="N1403" s="105">
        <v>53481</v>
      </c>
      <c r="O1403" s="846">
        <f>N1403/M1403</f>
        <v>0.75001051790146833</v>
      </c>
      <c r="P1403" s="790" t="s">
        <v>395</v>
      </c>
      <c r="Q1403" s="672"/>
    </row>
    <row r="1404" spans="1:17" s="197" customFormat="1" ht="60" customHeight="1">
      <c r="A1404" s="559"/>
      <c r="B1404" s="199"/>
      <c r="C1404" s="198">
        <v>3</v>
      </c>
      <c r="D1404" s="115"/>
      <c r="E1404" s="265" t="s">
        <v>45</v>
      </c>
      <c r="F1404" s="205"/>
      <c r="G1404" s="451"/>
      <c r="H1404" s="451"/>
      <c r="I1404" s="451"/>
      <c r="J1404" s="451"/>
      <c r="K1404" s="452">
        <f>K1406</f>
        <v>10000</v>
      </c>
      <c r="L1404" s="452">
        <f>L1406</f>
        <v>10000</v>
      </c>
      <c r="M1404" s="452">
        <f>M1406+M1407+M1408</f>
        <v>10000</v>
      </c>
      <c r="N1404" s="452">
        <f>N1406+N1407+N1408</f>
        <v>3000</v>
      </c>
      <c r="O1404" s="873">
        <f>N1404/M1404</f>
        <v>0.3</v>
      </c>
      <c r="P1404" s="765" t="s">
        <v>395</v>
      </c>
      <c r="Q1404" s="651"/>
    </row>
    <row r="1405" spans="1:17" s="261" customFormat="1" ht="30" customHeight="1">
      <c r="A1405" s="424"/>
      <c r="B1405" s="264"/>
      <c r="C1405" s="28"/>
      <c r="D1405" s="263"/>
      <c r="E1405" s="262" t="s">
        <v>13</v>
      </c>
      <c r="F1405" s="525"/>
      <c r="G1405" s="525"/>
      <c r="H1405" s="525"/>
      <c r="I1405" s="525"/>
      <c r="J1405" s="525"/>
      <c r="K1405" s="525"/>
      <c r="L1405" s="526"/>
      <c r="M1405" s="526"/>
      <c r="N1405" s="526"/>
      <c r="O1405" s="880"/>
      <c r="P1405" s="772"/>
      <c r="Q1405" s="656"/>
    </row>
    <row r="1406" spans="1:17" s="256" customFormat="1" ht="41.25" customHeight="1">
      <c r="A1406" s="488"/>
      <c r="B1406" s="260"/>
      <c r="C1406" s="213"/>
      <c r="D1406" s="259" t="s">
        <v>0</v>
      </c>
      <c r="E1406" s="258" t="s">
        <v>44</v>
      </c>
      <c r="F1406" s="517"/>
      <c r="G1406" s="212"/>
      <c r="H1406" s="212"/>
      <c r="I1406" s="212"/>
      <c r="J1406" s="257"/>
      <c r="K1406" s="105">
        <v>10000</v>
      </c>
      <c r="L1406" s="105">
        <f t="shared" ref="L1406:L1410" si="118">SUM(F1406:K1406)</f>
        <v>10000</v>
      </c>
      <c r="M1406" s="105">
        <v>7000</v>
      </c>
      <c r="N1406" s="105">
        <v>0</v>
      </c>
      <c r="O1406" s="846">
        <v>0</v>
      </c>
      <c r="P1406" s="790" t="s">
        <v>395</v>
      </c>
      <c r="Q1406" s="672"/>
    </row>
    <row r="1407" spans="1:17" s="266" customFormat="1" ht="39.9" customHeight="1">
      <c r="A1407" s="488"/>
      <c r="B1407" s="260"/>
      <c r="C1407" s="450"/>
      <c r="D1407" s="259" t="s">
        <v>0</v>
      </c>
      <c r="E1407" s="258" t="s">
        <v>221</v>
      </c>
      <c r="F1407" s="517"/>
      <c r="G1407" s="212"/>
      <c r="H1407" s="212"/>
      <c r="I1407" s="212"/>
      <c r="J1407" s="257"/>
      <c r="K1407" s="105">
        <v>115882</v>
      </c>
      <c r="L1407" s="105">
        <v>0</v>
      </c>
      <c r="M1407" s="105">
        <v>2400</v>
      </c>
      <c r="N1407" s="105">
        <v>2400</v>
      </c>
      <c r="O1407" s="846">
        <f>N1407/M1407</f>
        <v>1</v>
      </c>
      <c r="P1407" s="789" t="s">
        <v>395</v>
      </c>
      <c r="Q1407" s="673"/>
    </row>
    <row r="1408" spans="1:17" s="266" customFormat="1" ht="39.9" customHeight="1">
      <c r="A1408" s="488"/>
      <c r="B1408" s="260"/>
      <c r="C1408" s="450"/>
      <c r="D1408" s="259" t="s">
        <v>0</v>
      </c>
      <c r="E1408" s="258" t="s">
        <v>284</v>
      </c>
      <c r="F1408" s="517"/>
      <c r="G1408" s="212"/>
      <c r="H1408" s="212"/>
      <c r="I1408" s="212"/>
      <c r="J1408" s="257"/>
      <c r="K1408" s="105">
        <v>115882</v>
      </c>
      <c r="L1408" s="105">
        <v>0</v>
      </c>
      <c r="M1408" s="105">
        <v>600</v>
      </c>
      <c r="N1408" s="105">
        <v>600</v>
      </c>
      <c r="O1408" s="846">
        <f>N1408/M1408</f>
        <v>1</v>
      </c>
      <c r="P1408" s="789" t="s">
        <v>395</v>
      </c>
      <c r="Q1408" s="673"/>
    </row>
    <row r="1409" spans="1:17" s="197" customFormat="1" ht="61.5" customHeight="1">
      <c r="A1409" s="559"/>
      <c r="B1409" s="199"/>
      <c r="C1409" s="222">
        <v>4</v>
      </c>
      <c r="D1409" s="86"/>
      <c r="E1409" s="255" t="s">
        <v>43</v>
      </c>
      <c r="F1409" s="219"/>
      <c r="G1409" s="84"/>
      <c r="H1409" s="84"/>
      <c r="I1409" s="84"/>
      <c r="J1409" s="84"/>
      <c r="K1409" s="84">
        <v>35000</v>
      </c>
      <c r="L1409" s="84">
        <f t="shared" si="118"/>
        <v>35000</v>
      </c>
      <c r="M1409" s="84">
        <v>35000</v>
      </c>
      <c r="N1409" s="84">
        <v>0</v>
      </c>
      <c r="O1409" s="838">
        <v>0</v>
      </c>
      <c r="P1409" s="765" t="s">
        <v>395</v>
      </c>
      <c r="Q1409" s="651"/>
    </row>
    <row r="1410" spans="1:17" s="250" customFormat="1" ht="61.5" customHeight="1">
      <c r="A1410" s="400"/>
      <c r="B1410" s="173"/>
      <c r="C1410" s="180">
        <v>5</v>
      </c>
      <c r="D1410" s="179"/>
      <c r="E1410" s="182" t="s">
        <v>42</v>
      </c>
      <c r="F1410" s="254"/>
      <c r="G1410" s="455"/>
      <c r="H1410" s="455"/>
      <c r="I1410" s="455"/>
      <c r="J1410" s="455"/>
      <c r="K1410" s="455">
        <v>1000</v>
      </c>
      <c r="L1410" s="599">
        <f t="shared" si="118"/>
        <v>1000</v>
      </c>
      <c r="M1410" s="599">
        <v>1000</v>
      </c>
      <c r="N1410" s="599">
        <v>0</v>
      </c>
      <c r="O1410" s="881">
        <v>0</v>
      </c>
      <c r="P1410" s="781" t="s">
        <v>395</v>
      </c>
      <c r="Q1410" s="665"/>
    </row>
    <row r="1411" spans="1:17" s="165" customFormat="1" ht="44.25" customHeight="1">
      <c r="A1411" s="429"/>
      <c r="B1411" s="61"/>
      <c r="C1411" s="60"/>
      <c r="D1411" s="164"/>
      <c r="E1411" s="224" t="s">
        <v>41</v>
      </c>
      <c r="F1411" s="362"/>
      <c r="G1411" s="105"/>
      <c r="H1411" s="105"/>
      <c r="I1411" s="105"/>
      <c r="J1411" s="105"/>
      <c r="K1411" s="105"/>
      <c r="L1411" s="439"/>
      <c r="M1411" s="439"/>
      <c r="N1411" s="439"/>
      <c r="O1411" s="844"/>
      <c r="P1411" s="780"/>
      <c r="Q1411" s="664"/>
    </row>
    <row r="1412" spans="1:17" s="193" customFormat="1" ht="89.25" customHeight="1">
      <c r="A1412" s="487"/>
      <c r="B1412" s="199"/>
      <c r="C1412" s="198">
        <v>6</v>
      </c>
      <c r="D1412" s="463"/>
      <c r="E1412" s="206" t="s">
        <v>233</v>
      </c>
      <c r="F1412" s="205"/>
      <c r="G1412" s="205"/>
      <c r="H1412" s="205"/>
      <c r="I1412" s="205"/>
      <c r="J1412" s="205"/>
      <c r="K1412" s="205">
        <v>20000</v>
      </c>
      <c r="L1412" s="451">
        <f t="shared" ref="L1412:L1417" si="119">SUM(F1412:K1412)</f>
        <v>20000</v>
      </c>
      <c r="M1412" s="451">
        <v>20000</v>
      </c>
      <c r="N1412" s="451">
        <v>9600</v>
      </c>
      <c r="O1412" s="837">
        <f>N1412/M1412</f>
        <v>0.48</v>
      </c>
      <c r="P1412" s="781" t="s">
        <v>395</v>
      </c>
      <c r="Q1412" s="665"/>
    </row>
    <row r="1413" spans="1:17" s="193" customFormat="1" ht="94.5" customHeight="1">
      <c r="A1413" s="716"/>
      <c r="B1413" s="717"/>
      <c r="C1413" s="571">
        <v>7</v>
      </c>
      <c r="D1413" s="572"/>
      <c r="E1413" s="718" t="s">
        <v>361</v>
      </c>
      <c r="F1413" s="565"/>
      <c r="G1413" s="565"/>
      <c r="H1413" s="565">
        <v>28304.880000000001</v>
      </c>
      <c r="I1413" s="565"/>
      <c r="J1413" s="565"/>
      <c r="K1413" s="565"/>
      <c r="L1413" s="564">
        <f t="shared" si="119"/>
        <v>28304.880000000001</v>
      </c>
      <c r="M1413" s="564">
        <v>42394.83</v>
      </c>
      <c r="N1413" s="564">
        <v>35038.31</v>
      </c>
      <c r="O1413" s="763">
        <f>N1413/M1413</f>
        <v>0.82647601134383597</v>
      </c>
      <c r="P1413" s="781" t="s">
        <v>395</v>
      </c>
      <c r="Q1413" s="665"/>
    </row>
    <row r="1414" spans="1:17" s="193" customFormat="1" ht="94.5" customHeight="1">
      <c r="A1414" s="716"/>
      <c r="B1414" s="717"/>
      <c r="C1414" s="571">
        <v>8</v>
      </c>
      <c r="D1414" s="572"/>
      <c r="E1414" s="718" t="s">
        <v>362</v>
      </c>
      <c r="F1414" s="565"/>
      <c r="G1414" s="565"/>
      <c r="H1414" s="565">
        <v>90480</v>
      </c>
      <c r="I1414" s="565"/>
      <c r="J1414" s="565"/>
      <c r="K1414" s="565"/>
      <c r="L1414" s="564">
        <f t="shared" si="119"/>
        <v>90480</v>
      </c>
      <c r="M1414" s="564">
        <v>92680.65</v>
      </c>
      <c r="N1414" s="564">
        <v>48944.63</v>
      </c>
      <c r="O1414" s="763">
        <f>N1414/M1414</f>
        <v>0.52809977055620561</v>
      </c>
      <c r="P1414" s="781" t="s">
        <v>395</v>
      </c>
      <c r="Q1414" s="665"/>
    </row>
    <row r="1415" spans="1:17" s="193" customFormat="1" ht="110.25" customHeight="1">
      <c r="A1415" s="716"/>
      <c r="B1415" s="717"/>
      <c r="C1415" s="571">
        <v>9</v>
      </c>
      <c r="D1415" s="572"/>
      <c r="E1415" s="718" t="s">
        <v>363</v>
      </c>
      <c r="F1415" s="565"/>
      <c r="G1415" s="565"/>
      <c r="H1415" s="565">
        <v>261530.7</v>
      </c>
      <c r="I1415" s="565"/>
      <c r="J1415" s="565"/>
      <c r="K1415" s="565"/>
      <c r="L1415" s="564">
        <f t="shared" si="119"/>
        <v>261530.7</v>
      </c>
      <c r="M1415" s="564">
        <v>261530.7</v>
      </c>
      <c r="N1415" s="564">
        <v>0</v>
      </c>
      <c r="O1415" s="763">
        <v>0</v>
      </c>
      <c r="P1415" s="781" t="s">
        <v>395</v>
      </c>
      <c r="Q1415" s="665"/>
    </row>
    <row r="1416" spans="1:17" s="193" customFormat="1" ht="129.75" customHeight="1">
      <c r="A1416" s="716"/>
      <c r="B1416" s="717"/>
      <c r="C1416" s="571">
        <v>10</v>
      </c>
      <c r="D1416" s="572"/>
      <c r="E1416" s="718" t="s">
        <v>364</v>
      </c>
      <c r="F1416" s="565"/>
      <c r="G1416" s="565"/>
      <c r="H1416" s="565">
        <v>297166.62</v>
      </c>
      <c r="I1416" s="565"/>
      <c r="J1416" s="565"/>
      <c r="K1416" s="565"/>
      <c r="L1416" s="564">
        <f t="shared" si="119"/>
        <v>297166.62</v>
      </c>
      <c r="M1416" s="564">
        <v>297166.62</v>
      </c>
      <c r="N1416" s="564">
        <v>0</v>
      </c>
      <c r="O1416" s="763">
        <v>0</v>
      </c>
      <c r="P1416" s="781" t="s">
        <v>395</v>
      </c>
      <c r="Q1416" s="665"/>
    </row>
    <row r="1417" spans="1:17" s="193" customFormat="1" ht="91.5" customHeight="1">
      <c r="A1417" s="487"/>
      <c r="B1417" s="199"/>
      <c r="C1417" s="731">
        <v>11</v>
      </c>
      <c r="D1417" s="1306"/>
      <c r="E1417" s="206" t="s">
        <v>354</v>
      </c>
      <c r="F1417" s="205"/>
      <c r="G1417" s="205"/>
      <c r="H1417" s="205">
        <v>292607</v>
      </c>
      <c r="I1417" s="205"/>
      <c r="J1417" s="205"/>
      <c r="K1417" s="205">
        <f>113792+1593601</f>
        <v>1707393</v>
      </c>
      <c r="L1417" s="451">
        <f t="shared" si="119"/>
        <v>2000000</v>
      </c>
      <c r="M1417" s="451">
        <v>3307370</v>
      </c>
      <c r="N1417" s="451">
        <v>228593.53</v>
      </c>
      <c r="O1417" s="837">
        <f>N1417/M1417</f>
        <v>6.9116406691721824E-2</v>
      </c>
      <c r="P1417" s="781" t="s">
        <v>395</v>
      </c>
      <c r="Q1417" s="665"/>
    </row>
    <row r="1418" spans="1:17" s="193" customFormat="1" ht="91.5" customHeight="1">
      <c r="A1418" s="988"/>
      <c r="B1418" s="1092"/>
      <c r="C1418" s="1182"/>
      <c r="D1418" s="444"/>
      <c r="E1418" s="1252" t="s">
        <v>695</v>
      </c>
      <c r="F1418" s="1252"/>
      <c r="G1418" s="1252"/>
      <c r="H1418" s="1252"/>
      <c r="I1418" s="1252"/>
      <c r="J1418" s="1252"/>
      <c r="K1418" s="1252"/>
      <c r="L1418" s="1252"/>
      <c r="M1418" s="1252"/>
      <c r="N1418" s="1252"/>
      <c r="O1418" s="1253"/>
      <c r="P1418" s="781"/>
      <c r="Q1418" s="665"/>
    </row>
    <row r="1419" spans="1:17" s="193" customFormat="1" ht="58.5" customHeight="1">
      <c r="A1419" s="988"/>
      <c r="B1419" s="1092"/>
      <c r="C1419" s="1156"/>
      <c r="D1419" s="1157"/>
      <c r="E1419" s="1252" t="s">
        <v>764</v>
      </c>
      <c r="F1419" s="1252"/>
      <c r="G1419" s="1252"/>
      <c r="H1419" s="1252"/>
      <c r="I1419" s="1252"/>
      <c r="J1419" s="1252"/>
      <c r="K1419" s="1252"/>
      <c r="L1419" s="1252"/>
      <c r="M1419" s="1252"/>
      <c r="N1419" s="1252"/>
      <c r="O1419" s="1253"/>
      <c r="P1419" s="781"/>
      <c r="Q1419" s="665"/>
    </row>
    <row r="1420" spans="1:17" s="193" customFormat="1" ht="79.5" customHeight="1">
      <c r="A1420" s="487"/>
      <c r="B1420" s="199"/>
      <c r="C1420" s="198">
        <v>12</v>
      </c>
      <c r="D1420" s="463"/>
      <c r="E1420" s="718" t="s">
        <v>383</v>
      </c>
      <c r="F1420" s="565"/>
      <c r="G1420" s="565"/>
      <c r="H1420" s="565"/>
      <c r="I1420" s="565"/>
      <c r="J1420" s="565"/>
      <c r="K1420" s="565">
        <v>20000</v>
      </c>
      <c r="L1420" s="564">
        <v>0</v>
      </c>
      <c r="M1420" s="564">
        <v>6000</v>
      </c>
      <c r="N1420" s="564">
        <v>5140.8100000000004</v>
      </c>
      <c r="O1420" s="763">
        <f>N13778</f>
        <v>0</v>
      </c>
      <c r="P1420" s="781" t="s">
        <v>395</v>
      </c>
      <c r="Q1420" s="665"/>
    </row>
    <row r="1421" spans="1:17" s="193" customFormat="1" ht="62.25" customHeight="1">
      <c r="A1421" s="988"/>
      <c r="B1421" s="1092"/>
      <c r="C1421" s="1156"/>
      <c r="D1421" s="1157"/>
      <c r="E1421" s="1263" t="s">
        <v>696</v>
      </c>
      <c r="F1421" s="1263"/>
      <c r="G1421" s="1263"/>
      <c r="H1421" s="1263"/>
      <c r="I1421" s="1263"/>
      <c r="J1421" s="1263"/>
      <c r="K1421" s="1263"/>
      <c r="L1421" s="1263"/>
      <c r="M1421" s="1263"/>
      <c r="N1421" s="1263"/>
      <c r="O1421" s="1264"/>
      <c r="P1421" s="781"/>
      <c r="Q1421" s="665"/>
    </row>
    <row r="1422" spans="1:17" s="120" customFormat="1" ht="53.25" customHeight="1">
      <c r="A1422" s="83">
        <v>13</v>
      </c>
      <c r="B1422" s="82">
        <v>851</v>
      </c>
      <c r="C1422" s="81"/>
      <c r="D1422" s="80"/>
      <c r="E1422" s="122" t="s">
        <v>40</v>
      </c>
      <c r="F1422" s="78" t="e">
        <f>F1423+F1429</f>
        <v>#REF!</v>
      </c>
      <c r="G1422" s="78" t="e">
        <f t="shared" ref="G1422:K1422" si="120">G1423+G1429</f>
        <v>#REF!</v>
      </c>
      <c r="H1422" s="78" t="e">
        <f t="shared" si="120"/>
        <v>#REF!</v>
      </c>
      <c r="I1422" s="78" t="e">
        <f t="shared" si="120"/>
        <v>#REF!</v>
      </c>
      <c r="J1422" s="78" t="e">
        <f t="shared" si="120"/>
        <v>#REF!</v>
      </c>
      <c r="K1422" s="78" t="e">
        <f t="shared" si="120"/>
        <v>#REF!</v>
      </c>
      <c r="L1422" s="77">
        <f>L1423+L1429</f>
        <v>433550</v>
      </c>
      <c r="M1422" s="77">
        <f t="shared" ref="M1422:N1422" si="121">M1423+M1429</f>
        <v>433550</v>
      </c>
      <c r="N1422" s="77">
        <f t="shared" si="121"/>
        <v>245389.38</v>
      </c>
      <c r="O1422" s="834">
        <f>N1422/M1422</f>
        <v>0.56600018452312306</v>
      </c>
      <c r="P1422" s="764" t="s">
        <v>395</v>
      </c>
      <c r="Q1422" s="650"/>
    </row>
    <row r="1423" spans="1:17" s="64" customFormat="1" ht="53.25" customHeight="1">
      <c r="A1423" s="388"/>
      <c r="B1423" s="75">
        <v>85153</v>
      </c>
      <c r="C1423" s="74"/>
      <c r="D1423" s="73"/>
      <c r="E1423" s="72" t="s">
        <v>39</v>
      </c>
      <c r="F1423" s="92">
        <v>0</v>
      </c>
      <c r="G1423" s="92">
        <f>G1424+G1425</f>
        <v>0</v>
      </c>
      <c r="H1423" s="92">
        <f>H1424+H1425</f>
        <v>0</v>
      </c>
      <c r="I1423" s="92">
        <f>I1424+I1425</f>
        <v>0</v>
      </c>
      <c r="J1423" s="92">
        <f>J1424+J1425</f>
        <v>10000</v>
      </c>
      <c r="K1423" s="92">
        <f>K1424+K1425</f>
        <v>30000</v>
      </c>
      <c r="L1423" s="92">
        <f t="shared" ref="L1423:L1425" si="122">SUM(F1423:K1423)</f>
        <v>40000</v>
      </c>
      <c r="M1423" s="92">
        <f>M1424+M1425+M1427</f>
        <v>40000</v>
      </c>
      <c r="N1423" s="92">
        <f>N1424+N1425+N1427</f>
        <v>40000</v>
      </c>
      <c r="O1423" s="755">
        <f>N1423/M1423</f>
        <v>1</v>
      </c>
      <c r="P1423" s="764" t="s">
        <v>395</v>
      </c>
      <c r="Q1423" s="650"/>
    </row>
    <row r="1424" spans="1:17" s="76" customFormat="1" ht="112.5" customHeight="1">
      <c r="A1424" s="388"/>
      <c r="B1424" s="125"/>
      <c r="C1424" s="249">
        <v>1</v>
      </c>
      <c r="D1424" s="248"/>
      <c r="E1424" s="247" t="s">
        <v>38</v>
      </c>
      <c r="F1424" s="527"/>
      <c r="G1424" s="246"/>
      <c r="H1424" s="246"/>
      <c r="I1424" s="246"/>
      <c r="J1424" s="246"/>
      <c r="K1424" s="246">
        <v>30000</v>
      </c>
      <c r="L1424" s="245">
        <f t="shared" si="122"/>
        <v>30000</v>
      </c>
      <c r="M1424" s="245">
        <v>0</v>
      </c>
      <c r="N1424" s="245">
        <v>0</v>
      </c>
      <c r="O1424" s="882">
        <v>0</v>
      </c>
      <c r="P1424" s="764" t="s">
        <v>395</v>
      </c>
      <c r="Q1424" s="650"/>
    </row>
    <row r="1425" spans="1:18" s="76" customFormat="1" ht="91.5" customHeight="1">
      <c r="A1425" s="388"/>
      <c r="B1425" s="125"/>
      <c r="C1425" s="593">
        <v>2</v>
      </c>
      <c r="D1425" s="602"/>
      <c r="E1425" s="825" t="s">
        <v>143</v>
      </c>
      <c r="F1425" s="588"/>
      <c r="G1425" s="595"/>
      <c r="H1425" s="595"/>
      <c r="I1425" s="595"/>
      <c r="J1425" s="595">
        <v>10000</v>
      </c>
      <c r="K1425" s="595"/>
      <c r="L1425" s="740">
        <f t="shared" si="122"/>
        <v>10000</v>
      </c>
      <c r="M1425" s="740">
        <v>10000</v>
      </c>
      <c r="N1425" s="740">
        <v>10000</v>
      </c>
      <c r="O1425" s="883">
        <f>N1425/M1425</f>
        <v>1</v>
      </c>
      <c r="P1425" s="764" t="s">
        <v>395</v>
      </c>
      <c r="Q1425" s="650"/>
    </row>
    <row r="1426" spans="1:18" s="76" customFormat="1" ht="115.5" customHeight="1">
      <c r="A1426" s="1153"/>
      <c r="B1426" s="1154"/>
      <c r="C1426" s="116"/>
      <c r="D1426" s="1173"/>
      <c r="E1426" s="1294" t="s">
        <v>714</v>
      </c>
      <c r="F1426" s="1294"/>
      <c r="G1426" s="1294"/>
      <c r="H1426" s="1294"/>
      <c r="I1426" s="1294"/>
      <c r="J1426" s="1294"/>
      <c r="K1426" s="1294"/>
      <c r="L1426" s="1294"/>
      <c r="M1426" s="1294"/>
      <c r="N1426" s="1294"/>
      <c r="O1426" s="1295"/>
      <c r="P1426" s="650"/>
      <c r="Q1426" s="824"/>
      <c r="R1426" s="650"/>
    </row>
    <row r="1427" spans="1:18" s="76" customFormat="1" ht="114" customHeight="1">
      <c r="A1427" s="685"/>
      <c r="B1427" s="686"/>
      <c r="C1427" s="593">
        <v>3</v>
      </c>
      <c r="D1427" s="602"/>
      <c r="E1427" s="825" t="s">
        <v>384</v>
      </c>
      <c r="F1427" s="588"/>
      <c r="G1427" s="595"/>
      <c r="H1427" s="595"/>
      <c r="I1427" s="595"/>
      <c r="J1427" s="595">
        <v>8000</v>
      </c>
      <c r="K1427" s="595"/>
      <c r="L1427" s="589">
        <v>0</v>
      </c>
      <c r="M1427" s="589">
        <v>30000</v>
      </c>
      <c r="N1427" s="589">
        <v>30000</v>
      </c>
      <c r="O1427" s="826">
        <f>N1427/M1427</f>
        <v>1</v>
      </c>
      <c r="P1427" s="650" t="s">
        <v>395</v>
      </c>
      <c r="Q1427" s="824"/>
      <c r="R1427" s="650"/>
    </row>
    <row r="1428" spans="1:18" s="76" customFormat="1" ht="69.75" customHeight="1">
      <c r="A1428" s="685"/>
      <c r="B1428" s="686"/>
      <c r="C1428" s="23"/>
      <c r="D1428" s="130"/>
      <c r="E1428" s="1263" t="s">
        <v>385</v>
      </c>
      <c r="F1428" s="1263"/>
      <c r="G1428" s="1263"/>
      <c r="H1428" s="1263"/>
      <c r="I1428" s="1263"/>
      <c r="J1428" s="1263"/>
      <c r="K1428" s="1263"/>
      <c r="L1428" s="1263"/>
      <c r="M1428" s="1263"/>
      <c r="N1428" s="1263"/>
      <c r="O1428" s="1264"/>
      <c r="P1428" s="650"/>
      <c r="Q1428" s="824"/>
      <c r="R1428" s="650"/>
    </row>
    <row r="1429" spans="1:18" s="64" customFormat="1" ht="54.75" customHeight="1">
      <c r="A1429" s="388"/>
      <c r="B1429" s="75">
        <v>85154</v>
      </c>
      <c r="C1429" s="244"/>
      <c r="D1429" s="243"/>
      <c r="E1429" s="242" t="s">
        <v>37</v>
      </c>
      <c r="F1429" s="500" t="e">
        <f>F1430+F1432+F1433+F1434+F1447+F1450+F1452+#REF!</f>
        <v>#REF!</v>
      </c>
      <c r="G1429" s="500" t="e">
        <f>G1430+G1432+G1433+G1434+G1447+G1450+G1452+#REF!</f>
        <v>#REF!</v>
      </c>
      <c r="H1429" s="500" t="e">
        <f>H1430+H1432+H1433+H1434+H1447+H1450+H1452+#REF!</f>
        <v>#REF!</v>
      </c>
      <c r="I1429" s="500" t="e">
        <f>I1430+I1432+I1433+I1434+I1447+I1450+I1452+#REF!</f>
        <v>#REF!</v>
      </c>
      <c r="J1429" s="500" t="e">
        <f>J1430+J1432+J1433+J1434+J1447+J1450+J1452+#REF!</f>
        <v>#REF!</v>
      </c>
      <c r="K1429" s="500" t="e">
        <f>K1430+K1432+K1433+K1434+K1447+K1450+K1452+#REF!</f>
        <v>#REF!</v>
      </c>
      <c r="L1429" s="92">
        <f>L1430+L1432+L1433+L1434+L1447+L1450+L1452+L1458</f>
        <v>393550</v>
      </c>
      <c r="M1429" s="92">
        <f>M1430+M1432+M1433+M1434+M1447+M1450+M1452+M1458</f>
        <v>393550</v>
      </c>
      <c r="N1429" s="92">
        <f>N1430+N1432+N1433+N1434+N1447+N1450+N1452+N1458</f>
        <v>205389.38</v>
      </c>
      <c r="O1429" s="755">
        <f>N1429/M1429</f>
        <v>0.52188890865201376</v>
      </c>
      <c r="P1429" s="764" t="s">
        <v>395</v>
      </c>
      <c r="Q1429" s="650"/>
    </row>
    <row r="1430" spans="1:18" s="231" customFormat="1" ht="66" customHeight="1">
      <c r="A1430" s="396"/>
      <c r="B1430" s="88"/>
      <c r="C1430" s="241">
        <v>1</v>
      </c>
      <c r="D1430" s="152"/>
      <c r="E1430" s="240" t="s">
        <v>36</v>
      </c>
      <c r="F1430" s="528"/>
      <c r="G1430" s="239"/>
      <c r="H1430" s="239"/>
      <c r="I1430" s="239"/>
      <c r="J1430" s="239"/>
      <c r="K1430" s="239">
        <f>43000+500+2000+500+12000+10450</f>
        <v>68450</v>
      </c>
      <c r="L1430" s="238">
        <f>SUM(F1430:K1430)</f>
        <v>68450</v>
      </c>
      <c r="M1430" s="238">
        <v>68450</v>
      </c>
      <c r="N1430" s="238">
        <v>22932.93</v>
      </c>
      <c r="O1430" s="884">
        <f>N1430/M1430</f>
        <v>0.33503184806428049</v>
      </c>
      <c r="P1430" s="766" t="s">
        <v>395</v>
      </c>
      <c r="Q1430" s="649"/>
    </row>
    <row r="1431" spans="1:18" s="1178" customFormat="1" ht="124.5" customHeight="1">
      <c r="A1431" s="1175"/>
      <c r="B1431" s="1176"/>
      <c r="C1431" s="1177"/>
      <c r="D1431" s="236"/>
      <c r="E1431" s="1296" t="s">
        <v>715</v>
      </c>
      <c r="F1431" s="1296"/>
      <c r="G1431" s="1296"/>
      <c r="H1431" s="1296"/>
      <c r="I1431" s="1296"/>
      <c r="J1431" s="1296"/>
      <c r="K1431" s="1296"/>
      <c r="L1431" s="1296"/>
      <c r="M1431" s="1296"/>
      <c r="N1431" s="1296"/>
      <c r="O1431" s="1297"/>
      <c r="P1431" s="649"/>
      <c r="Q1431" s="756"/>
      <c r="R1431" s="649"/>
    </row>
    <row r="1432" spans="1:18" s="231" customFormat="1" ht="141.75" customHeight="1">
      <c r="A1432" s="396"/>
      <c r="B1432" s="88"/>
      <c r="C1432" s="87">
        <v>2</v>
      </c>
      <c r="D1432" s="136"/>
      <c r="E1432" s="138" t="s">
        <v>35</v>
      </c>
      <c r="F1432" s="134"/>
      <c r="G1432" s="135"/>
      <c r="H1432" s="135"/>
      <c r="I1432" s="135"/>
      <c r="J1432" s="135"/>
      <c r="K1432" s="135">
        <v>109000</v>
      </c>
      <c r="L1432" s="133">
        <f t="shared" ref="L1432:L1433" si="123">SUM(F1432:K1432)</f>
        <v>109000</v>
      </c>
      <c r="M1432" s="133">
        <v>0</v>
      </c>
      <c r="N1432" s="133">
        <v>0</v>
      </c>
      <c r="O1432" s="862">
        <v>0</v>
      </c>
      <c r="P1432" s="766" t="s">
        <v>395</v>
      </c>
      <c r="Q1432" s="649"/>
    </row>
    <row r="1433" spans="1:18" s="231" customFormat="1" ht="87" customHeight="1">
      <c r="A1433" s="396"/>
      <c r="B1433" s="88"/>
      <c r="C1433" s="87">
        <v>3</v>
      </c>
      <c r="D1433" s="136"/>
      <c r="E1433" s="138" t="s">
        <v>169</v>
      </c>
      <c r="F1433" s="134"/>
      <c r="G1433" s="135"/>
      <c r="H1433" s="135"/>
      <c r="I1433" s="135"/>
      <c r="J1433" s="135"/>
      <c r="K1433" s="135">
        <v>70000</v>
      </c>
      <c r="L1433" s="133">
        <f t="shared" si="123"/>
        <v>70000</v>
      </c>
      <c r="M1433" s="133">
        <v>70000</v>
      </c>
      <c r="N1433" s="133">
        <v>32722.5</v>
      </c>
      <c r="O1433" s="862">
        <f>N1433/M1433</f>
        <v>0.46746428571428572</v>
      </c>
      <c r="P1433" s="766" t="s">
        <v>395</v>
      </c>
      <c r="Q1433" s="649"/>
    </row>
    <row r="1434" spans="1:18" s="231" customFormat="1" ht="197.25" customHeight="1">
      <c r="A1434" s="396"/>
      <c r="B1434" s="397"/>
      <c r="C1434" s="593">
        <v>4</v>
      </c>
      <c r="D1434" s="602"/>
      <c r="E1434" s="596" t="s">
        <v>203</v>
      </c>
      <c r="F1434" s="588"/>
      <c r="G1434" s="595"/>
      <c r="H1434" s="595"/>
      <c r="I1434" s="595"/>
      <c r="J1434" s="595"/>
      <c r="K1434" s="595">
        <f>6000+18000+2500+3000+3000+2500+2000+45000+4000+2000+5000</f>
        <v>93000</v>
      </c>
      <c r="L1434" s="589">
        <v>96000</v>
      </c>
      <c r="M1434" s="589">
        <v>96000</v>
      </c>
      <c r="N1434" s="589">
        <v>16458.189999999999</v>
      </c>
      <c r="O1434" s="826">
        <f>N1434/M1434</f>
        <v>0.17143947916666666</v>
      </c>
      <c r="P1434" s="766" t="s">
        <v>395</v>
      </c>
      <c r="Q1434" s="649"/>
    </row>
    <row r="1435" spans="1:18" s="619" customFormat="1" ht="60" customHeight="1">
      <c r="A1435" s="617"/>
      <c r="B1435" s="392"/>
      <c r="C1435" s="603"/>
      <c r="D1435" s="618" t="s">
        <v>210</v>
      </c>
      <c r="E1435" s="1252" t="s">
        <v>628</v>
      </c>
      <c r="F1435" s="1252"/>
      <c r="G1435" s="1252"/>
      <c r="H1435" s="1252"/>
      <c r="I1435" s="1252"/>
      <c r="J1435" s="1252"/>
      <c r="K1435" s="1252"/>
      <c r="L1435" s="1252"/>
      <c r="M1435" s="1252"/>
      <c r="N1435" s="1252"/>
      <c r="O1435" s="1252"/>
      <c r="P1435" s="768"/>
      <c r="Q1435" s="655"/>
    </row>
    <row r="1436" spans="1:18" s="619" customFormat="1" ht="42" customHeight="1">
      <c r="A1436" s="617"/>
      <c r="B1436" s="392"/>
      <c r="C1436" s="603"/>
      <c r="D1436" s="618" t="s">
        <v>211</v>
      </c>
      <c r="E1436" s="1005" t="s">
        <v>622</v>
      </c>
      <c r="F1436" s="1005"/>
      <c r="G1436" s="1005"/>
      <c r="H1436" s="1005"/>
      <c r="I1436" s="1005"/>
      <c r="J1436" s="1005"/>
      <c r="K1436" s="1005"/>
      <c r="L1436" s="1005"/>
      <c r="M1436" s="1005"/>
      <c r="N1436" s="1005"/>
      <c r="O1436" s="1005"/>
      <c r="P1436" s="768"/>
      <c r="Q1436" s="655"/>
    </row>
    <row r="1437" spans="1:18" s="619" customFormat="1" ht="55.5" customHeight="1">
      <c r="A1437" s="617"/>
      <c r="B1437" s="392"/>
      <c r="C1437" s="603"/>
      <c r="D1437" s="618" t="s">
        <v>212</v>
      </c>
      <c r="E1437" s="1252" t="s">
        <v>621</v>
      </c>
      <c r="F1437" s="1252"/>
      <c r="G1437" s="1252"/>
      <c r="H1437" s="1252"/>
      <c r="I1437" s="1252"/>
      <c r="J1437" s="1252"/>
      <c r="K1437" s="1252"/>
      <c r="L1437" s="1252"/>
      <c r="M1437" s="1252"/>
      <c r="N1437" s="1252"/>
      <c r="O1437" s="1252"/>
      <c r="P1437" s="768"/>
      <c r="Q1437" s="655"/>
    </row>
    <row r="1438" spans="1:18" s="619" customFormat="1" ht="61.5" customHeight="1">
      <c r="A1438" s="617"/>
      <c r="B1438" s="392"/>
      <c r="C1438" s="603"/>
      <c r="D1438" s="618" t="s">
        <v>213</v>
      </c>
      <c r="E1438" s="1252" t="s">
        <v>623</v>
      </c>
      <c r="F1438" s="1252"/>
      <c r="G1438" s="1252"/>
      <c r="H1438" s="1252"/>
      <c r="I1438" s="1252"/>
      <c r="J1438" s="1252"/>
      <c r="K1438" s="1252"/>
      <c r="L1438" s="1252"/>
      <c r="M1438" s="1252"/>
      <c r="N1438" s="1252"/>
      <c r="O1438" s="1252"/>
      <c r="P1438" s="768"/>
      <c r="Q1438" s="655"/>
    </row>
    <row r="1439" spans="1:18" s="619" customFormat="1" ht="56.25" customHeight="1">
      <c r="A1439" s="617"/>
      <c r="B1439" s="392"/>
      <c r="C1439" s="603"/>
      <c r="D1439" s="618" t="s">
        <v>223</v>
      </c>
      <c r="E1439" s="1252" t="s">
        <v>620</v>
      </c>
      <c r="F1439" s="1252"/>
      <c r="G1439" s="1252"/>
      <c r="H1439" s="1252"/>
      <c r="I1439" s="1252"/>
      <c r="J1439" s="1252"/>
      <c r="K1439" s="1252"/>
      <c r="L1439" s="1252"/>
      <c r="M1439" s="1252"/>
      <c r="N1439" s="1252"/>
      <c r="O1439" s="1252"/>
      <c r="P1439" s="768"/>
      <c r="Q1439" s="655"/>
    </row>
    <row r="1440" spans="1:18" s="619" customFormat="1" ht="42" customHeight="1">
      <c r="A1440" s="617"/>
      <c r="B1440" s="392"/>
      <c r="C1440" s="603"/>
      <c r="D1440" s="618" t="s">
        <v>224</v>
      </c>
      <c r="E1440" s="1252" t="s">
        <v>624</v>
      </c>
      <c r="F1440" s="1252"/>
      <c r="G1440" s="1252"/>
      <c r="H1440" s="1252"/>
      <c r="I1440" s="1252"/>
      <c r="J1440" s="1252"/>
      <c r="K1440" s="1252"/>
      <c r="L1440" s="1252"/>
      <c r="M1440" s="1252"/>
      <c r="N1440" s="1252"/>
      <c r="O1440" s="1252"/>
      <c r="P1440" s="768"/>
      <c r="Q1440" s="655"/>
    </row>
    <row r="1441" spans="1:20" s="619" customFormat="1" ht="75.75" customHeight="1">
      <c r="A1441" s="617"/>
      <c r="B1441" s="392"/>
      <c r="C1441" s="603"/>
      <c r="D1441" s="618" t="s">
        <v>225</v>
      </c>
      <c r="E1441" s="1252" t="s">
        <v>619</v>
      </c>
      <c r="F1441" s="1252"/>
      <c r="G1441" s="1252"/>
      <c r="H1441" s="1252"/>
      <c r="I1441" s="1252"/>
      <c r="J1441" s="1252"/>
      <c r="K1441" s="1252"/>
      <c r="L1441" s="1252"/>
      <c r="M1441" s="1252"/>
      <c r="N1441" s="1252"/>
      <c r="O1441" s="1252"/>
      <c r="P1441" s="768"/>
      <c r="Q1441" s="655"/>
    </row>
    <row r="1442" spans="1:20" s="619" customFormat="1" ht="63" customHeight="1">
      <c r="A1442" s="617"/>
      <c r="B1442" s="392"/>
      <c r="C1442" s="603"/>
      <c r="D1442" s="618" t="s">
        <v>226</v>
      </c>
      <c r="E1442" s="1252" t="s">
        <v>765</v>
      </c>
      <c r="F1442" s="1252"/>
      <c r="G1442" s="1252"/>
      <c r="H1442" s="1252"/>
      <c r="I1442" s="1252"/>
      <c r="J1442" s="1252"/>
      <c r="K1442" s="1252"/>
      <c r="L1442" s="1252"/>
      <c r="M1442" s="1252"/>
      <c r="N1442" s="1252"/>
      <c r="O1442" s="1252"/>
      <c r="P1442" s="768"/>
      <c r="Q1442" s="655"/>
    </row>
    <row r="1443" spans="1:20" s="619" customFormat="1" ht="42" customHeight="1">
      <c r="A1443" s="617"/>
      <c r="B1443" s="392"/>
      <c r="C1443" s="603"/>
      <c r="D1443" s="618" t="s">
        <v>227</v>
      </c>
      <c r="E1443" s="1252" t="s">
        <v>625</v>
      </c>
      <c r="F1443" s="1252"/>
      <c r="G1443" s="1252"/>
      <c r="H1443" s="1252"/>
      <c r="I1443" s="1252"/>
      <c r="J1443" s="1252"/>
      <c r="K1443" s="1252"/>
      <c r="L1443" s="1252"/>
      <c r="M1443" s="1252"/>
      <c r="N1443" s="1252"/>
      <c r="O1443" s="1252"/>
      <c r="P1443" s="768"/>
      <c r="Q1443" s="655"/>
    </row>
    <row r="1444" spans="1:20" s="619" customFormat="1" ht="54" customHeight="1">
      <c r="A1444" s="617"/>
      <c r="B1444" s="392"/>
      <c r="C1444" s="603"/>
      <c r="D1444" s="618" t="s">
        <v>254</v>
      </c>
      <c r="E1444" s="1252" t="s">
        <v>626</v>
      </c>
      <c r="F1444" s="1252"/>
      <c r="G1444" s="1252"/>
      <c r="H1444" s="1252"/>
      <c r="I1444" s="1252"/>
      <c r="J1444" s="1252"/>
      <c r="K1444" s="1252"/>
      <c r="L1444" s="1252"/>
      <c r="M1444" s="1252"/>
      <c r="N1444" s="1252"/>
      <c r="O1444" s="1252"/>
      <c r="P1444" s="768"/>
      <c r="Q1444" s="655"/>
    </row>
    <row r="1445" spans="1:20" s="619" customFormat="1" ht="42" customHeight="1">
      <c r="A1445" s="617"/>
      <c r="B1445" s="392"/>
      <c r="C1445" s="603"/>
      <c r="D1445" s="618" t="s">
        <v>255</v>
      </c>
      <c r="E1445" s="1252" t="s">
        <v>627</v>
      </c>
      <c r="F1445" s="1252"/>
      <c r="G1445" s="1252"/>
      <c r="H1445" s="1252"/>
      <c r="I1445" s="1252"/>
      <c r="J1445" s="1252"/>
      <c r="K1445" s="1252"/>
      <c r="L1445" s="1252"/>
      <c r="M1445" s="1252"/>
      <c r="N1445" s="1252"/>
      <c r="O1445" s="1252"/>
      <c r="P1445" s="768"/>
      <c r="Q1445" s="655"/>
    </row>
    <row r="1446" spans="1:20" s="619" customFormat="1" ht="54.75" customHeight="1">
      <c r="A1446" s="617"/>
      <c r="B1446" s="392"/>
      <c r="C1446" s="620"/>
      <c r="D1446" s="621"/>
      <c r="E1446" s="1269" t="s">
        <v>228</v>
      </c>
      <c r="F1446" s="1269"/>
      <c r="G1446" s="1269"/>
      <c r="H1446" s="1269"/>
      <c r="I1446" s="1269"/>
      <c r="J1446" s="1269"/>
      <c r="K1446" s="1269"/>
      <c r="L1446" s="1270"/>
      <c r="M1446" s="749"/>
      <c r="N1446" s="749"/>
      <c r="O1446" s="885"/>
      <c r="P1446" s="768"/>
      <c r="Q1446" s="655"/>
    </row>
    <row r="1447" spans="1:20" s="231" customFormat="1" ht="99.75" customHeight="1">
      <c r="A1447" s="1142"/>
      <c r="B1447" s="1143"/>
      <c r="C1447" s="593">
        <v>5</v>
      </c>
      <c r="D1447" s="602"/>
      <c r="E1447" s="596" t="s">
        <v>204</v>
      </c>
      <c r="F1447" s="588"/>
      <c r="G1447" s="595"/>
      <c r="H1447" s="595"/>
      <c r="I1447" s="595"/>
      <c r="J1447" s="595">
        <v>10000</v>
      </c>
      <c r="K1447" s="595"/>
      <c r="L1447" s="589">
        <f>SUM(F1447:K1447)</f>
        <v>10000</v>
      </c>
      <c r="M1447" s="589">
        <v>10000</v>
      </c>
      <c r="N1447" s="589">
        <v>10000</v>
      </c>
      <c r="O1447" s="826">
        <f>N1447/M1447</f>
        <v>1</v>
      </c>
      <c r="P1447" s="766" t="s">
        <v>395</v>
      </c>
      <c r="Q1447" s="649"/>
    </row>
    <row r="1448" spans="1:20" s="1178" customFormat="1" ht="70.5" customHeight="1">
      <c r="A1448" s="1142"/>
      <c r="B1448" s="1154"/>
      <c r="C1448" s="1179"/>
      <c r="D1448" s="130"/>
      <c r="E1448" s="1298" t="s">
        <v>716</v>
      </c>
      <c r="F1448" s="1298"/>
      <c r="G1448" s="1298"/>
      <c r="H1448" s="1298"/>
      <c r="I1448" s="1298"/>
      <c r="J1448" s="1298"/>
      <c r="K1448" s="1298"/>
      <c r="L1448" s="1298"/>
      <c r="M1448" s="1298"/>
      <c r="N1448" s="1298"/>
      <c r="O1448" s="1299"/>
      <c r="P1448" s="649"/>
      <c r="Q1448" s="756"/>
      <c r="R1448" s="649"/>
      <c r="T1448" s="1163" t="s">
        <v>395</v>
      </c>
    </row>
    <row r="1449" spans="1:20" s="1178" customFormat="1" ht="153.75" customHeight="1">
      <c r="A1449" s="1142"/>
      <c r="B1449" s="1154"/>
      <c r="C1449" s="1180"/>
      <c r="D1449" s="130"/>
      <c r="E1449" s="1298" t="s">
        <v>717</v>
      </c>
      <c r="F1449" s="1298"/>
      <c r="G1449" s="1298"/>
      <c r="H1449" s="1298"/>
      <c r="I1449" s="1298"/>
      <c r="J1449" s="1298"/>
      <c r="K1449" s="1298"/>
      <c r="L1449" s="1298"/>
      <c r="M1449" s="1298"/>
      <c r="N1449" s="1298"/>
      <c r="O1449" s="1299"/>
      <c r="P1449" s="649"/>
      <c r="Q1449" s="756"/>
      <c r="R1449" s="649"/>
      <c r="T1449" s="1163"/>
    </row>
    <row r="1450" spans="1:20" s="231" customFormat="1" ht="70.5" customHeight="1">
      <c r="A1450" s="396"/>
      <c r="B1450" s="397"/>
      <c r="C1450" s="593">
        <v>6</v>
      </c>
      <c r="D1450" s="602"/>
      <c r="E1450" s="596" t="s">
        <v>215</v>
      </c>
      <c r="F1450" s="588"/>
      <c r="G1450" s="595"/>
      <c r="H1450" s="595"/>
      <c r="I1450" s="595"/>
      <c r="J1450" s="595"/>
      <c r="K1450" s="595">
        <v>18000</v>
      </c>
      <c r="L1450" s="589">
        <f>SUM(F1450:K1450)</f>
        <v>18000</v>
      </c>
      <c r="M1450" s="589">
        <v>18000</v>
      </c>
      <c r="N1450" s="589">
        <v>7380</v>
      </c>
      <c r="O1450" s="826">
        <f>N1450/M1450</f>
        <v>0.41</v>
      </c>
      <c r="P1450" s="766" t="s">
        <v>395</v>
      </c>
      <c r="Q1450" s="649"/>
    </row>
    <row r="1451" spans="1:20" s="231" customFormat="1" ht="81.75" customHeight="1">
      <c r="A1451" s="1142"/>
      <c r="B1451" s="1143"/>
      <c r="C1451" s="1174"/>
      <c r="D1451" s="130"/>
      <c r="E1451" s="1294" t="s">
        <v>718</v>
      </c>
      <c r="F1451" s="1294"/>
      <c r="G1451" s="1294"/>
      <c r="H1451" s="1294"/>
      <c r="I1451" s="1294"/>
      <c r="J1451" s="1294"/>
      <c r="K1451" s="1294"/>
      <c r="L1451" s="1294"/>
      <c r="M1451" s="1294"/>
      <c r="N1451" s="1294"/>
      <c r="O1451" s="1294"/>
      <c r="P1451" s="1181"/>
      <c r="Q1451" s="756"/>
      <c r="R1451" s="757"/>
    </row>
    <row r="1452" spans="1:20" s="231" customFormat="1" ht="99.75" customHeight="1">
      <c r="A1452" s="396"/>
      <c r="B1452" s="88"/>
      <c r="C1452" s="384">
        <v>7</v>
      </c>
      <c r="D1452" s="132"/>
      <c r="E1452" s="137" t="s">
        <v>205</v>
      </c>
      <c r="F1452" s="124"/>
      <c r="G1452" s="366"/>
      <c r="H1452" s="366"/>
      <c r="I1452" s="366"/>
      <c r="J1452" s="366"/>
      <c r="K1452" s="588">
        <f>3600+6000+4500+8000</f>
        <v>22100</v>
      </c>
      <c r="L1452" s="589">
        <f>L1454+L1455+L1456+L1457</f>
        <v>22100</v>
      </c>
      <c r="M1452" s="589">
        <f t="shared" ref="M1452:N1452" si="124">M1454+M1455+M1456+M1457</f>
        <v>22100</v>
      </c>
      <c r="N1452" s="589">
        <f t="shared" si="124"/>
        <v>6895.76</v>
      </c>
      <c r="O1452" s="826">
        <f>N1452/M1452</f>
        <v>0.31202533936651583</v>
      </c>
      <c r="P1452" s="766" t="s">
        <v>395</v>
      </c>
      <c r="Q1452" s="649"/>
    </row>
    <row r="1453" spans="1:20" s="231" customFormat="1" ht="32.25" customHeight="1">
      <c r="A1453" s="396"/>
      <c r="B1453" s="88"/>
      <c r="C1453" s="237"/>
      <c r="D1453" s="236"/>
      <c r="E1453" s="416" t="s">
        <v>13</v>
      </c>
      <c r="F1453" s="235"/>
      <c r="G1453" s="235"/>
      <c r="H1453" s="235"/>
      <c r="I1453" s="235"/>
      <c r="J1453" s="235"/>
      <c r="K1453" s="967"/>
      <c r="L1453" s="968"/>
      <c r="M1453" s="968"/>
      <c r="N1453" s="968"/>
      <c r="O1453" s="969"/>
      <c r="P1453" s="766"/>
      <c r="Q1453" s="649"/>
    </row>
    <row r="1454" spans="1:20" s="231" customFormat="1" ht="73.5" customHeight="1">
      <c r="A1454" s="396"/>
      <c r="B1454" s="88"/>
      <c r="C1454" s="15"/>
      <c r="D1454" s="234" t="s">
        <v>0</v>
      </c>
      <c r="E1454" s="915" t="s">
        <v>492</v>
      </c>
      <c r="F1454" s="607"/>
      <c r="G1454" s="607"/>
      <c r="H1454" s="607"/>
      <c r="I1454" s="607"/>
      <c r="J1454" s="607"/>
      <c r="K1454" s="607"/>
      <c r="L1454" s="1307">
        <v>3600</v>
      </c>
      <c r="M1454" s="1307">
        <v>3600</v>
      </c>
      <c r="N1454" s="1307">
        <v>3600</v>
      </c>
      <c r="O1454" s="969">
        <f>N1454/M1454</f>
        <v>1</v>
      </c>
      <c r="P1454" s="766" t="s">
        <v>395</v>
      </c>
      <c r="Q1454" s="649"/>
    </row>
    <row r="1455" spans="1:20" s="231" customFormat="1" ht="73.5" customHeight="1">
      <c r="A1455" s="396"/>
      <c r="B1455" s="88"/>
      <c r="C1455" s="15"/>
      <c r="D1455" s="234" t="s">
        <v>0</v>
      </c>
      <c r="E1455" s="607" t="s">
        <v>560</v>
      </c>
      <c r="F1455" s="607"/>
      <c r="G1455" s="607"/>
      <c r="H1455" s="607"/>
      <c r="I1455" s="607"/>
      <c r="J1455" s="607"/>
      <c r="K1455" s="607"/>
      <c r="L1455" s="1307">
        <v>6000</v>
      </c>
      <c r="M1455" s="1307">
        <v>6000</v>
      </c>
      <c r="N1455" s="1307">
        <v>815</v>
      </c>
      <c r="O1455" s="969">
        <f>N1455/M1455</f>
        <v>0.13583333333333333</v>
      </c>
      <c r="P1455" s="766" t="s">
        <v>395</v>
      </c>
      <c r="Q1455" s="649"/>
    </row>
    <row r="1456" spans="1:20" s="231" customFormat="1" ht="73.5" customHeight="1">
      <c r="A1456" s="396"/>
      <c r="B1456" s="397"/>
      <c r="C1456" s="594"/>
      <c r="D1456" s="234" t="s">
        <v>0</v>
      </c>
      <c r="E1456" s="607" t="s">
        <v>561</v>
      </c>
      <c r="F1456" s="607"/>
      <c r="G1456" s="607"/>
      <c r="H1456" s="607"/>
      <c r="I1456" s="607"/>
      <c r="J1456" s="607"/>
      <c r="K1456" s="607"/>
      <c r="L1456" s="1307">
        <v>4500</v>
      </c>
      <c r="M1456" s="1307">
        <v>4500</v>
      </c>
      <c r="N1456" s="1307">
        <v>1086.2</v>
      </c>
      <c r="O1456" s="969">
        <f>N1456/M1456</f>
        <v>0.24137777777777777</v>
      </c>
      <c r="P1456" s="766" t="s">
        <v>395</v>
      </c>
      <c r="Q1456" s="649"/>
    </row>
    <row r="1457" spans="1:20" s="231" customFormat="1" ht="63.75" customHeight="1">
      <c r="A1457" s="396"/>
      <c r="B1457" s="88"/>
      <c r="C1457" s="719"/>
      <c r="D1457" s="234" t="s">
        <v>0</v>
      </c>
      <c r="E1457" s="966" t="s">
        <v>595</v>
      </c>
      <c r="F1457" s="966"/>
      <c r="G1457" s="966"/>
      <c r="H1457" s="966"/>
      <c r="I1457" s="966"/>
      <c r="J1457" s="966"/>
      <c r="K1457" s="966"/>
      <c r="L1457" s="1240">
        <v>8000</v>
      </c>
      <c r="M1457" s="1240">
        <v>8000</v>
      </c>
      <c r="N1457" s="1240">
        <v>1394.56</v>
      </c>
      <c r="O1457" s="970">
        <f>N1457/M1457</f>
        <v>0.17432</v>
      </c>
      <c r="P1457" s="766" t="s">
        <v>395</v>
      </c>
      <c r="Q1457" s="649"/>
    </row>
    <row r="1458" spans="1:20" s="231" customFormat="1" ht="110.25" customHeight="1">
      <c r="A1458" s="743"/>
      <c r="B1458" s="696"/>
      <c r="C1458" s="593">
        <v>8</v>
      </c>
      <c r="D1458" s="602"/>
      <c r="E1458" s="596" t="s">
        <v>386</v>
      </c>
      <c r="F1458" s="588"/>
      <c r="G1458" s="595"/>
      <c r="H1458" s="595"/>
      <c r="I1458" s="595"/>
      <c r="J1458" s="595"/>
      <c r="K1458" s="595">
        <v>26000</v>
      </c>
      <c r="L1458" s="589">
        <v>0</v>
      </c>
      <c r="M1458" s="589">
        <v>109000</v>
      </c>
      <c r="N1458" s="589">
        <v>109000</v>
      </c>
      <c r="O1458" s="826">
        <f>N1458/M1458</f>
        <v>1</v>
      </c>
      <c r="P1458" s="649" t="s">
        <v>395</v>
      </c>
      <c r="Q1458" s="756"/>
      <c r="R1458" s="649"/>
      <c r="T1458" s="827"/>
    </row>
    <row r="1459" spans="1:20" s="231" customFormat="1" ht="68.099999999999994" customHeight="1">
      <c r="A1459" s="743"/>
      <c r="B1459" s="696"/>
      <c r="C1459" s="719"/>
      <c r="D1459" s="130"/>
      <c r="E1459" s="1252" t="s">
        <v>387</v>
      </c>
      <c r="F1459" s="1252"/>
      <c r="G1459" s="1252"/>
      <c r="H1459" s="1252"/>
      <c r="I1459" s="1252"/>
      <c r="J1459" s="1252"/>
      <c r="K1459" s="1252"/>
      <c r="L1459" s="1252"/>
      <c r="M1459" s="1252"/>
      <c r="N1459" s="1252"/>
      <c r="O1459" s="1253"/>
      <c r="P1459" s="649"/>
      <c r="Q1459" s="756"/>
      <c r="R1459" s="649"/>
    </row>
    <row r="1460" spans="1:20" s="120" customFormat="1" ht="59.25" customHeight="1">
      <c r="A1460" s="83">
        <v>14</v>
      </c>
      <c r="B1460" s="82">
        <v>852</v>
      </c>
      <c r="C1460" s="81"/>
      <c r="D1460" s="80"/>
      <c r="E1460" s="122" t="s">
        <v>34</v>
      </c>
      <c r="F1460" s="77" t="e">
        <f t="shared" ref="F1460:N1460" si="125">F1461+F1489+F1492+F1499+F1504+F1506+F1542+F1487+F1539</f>
        <v>#REF!</v>
      </c>
      <c r="G1460" s="77" t="e">
        <f t="shared" si="125"/>
        <v>#REF!</v>
      </c>
      <c r="H1460" s="77" t="e">
        <f t="shared" si="125"/>
        <v>#REF!</v>
      </c>
      <c r="I1460" s="77" t="e">
        <f t="shared" si="125"/>
        <v>#REF!</v>
      </c>
      <c r="J1460" s="77" t="e">
        <f t="shared" si="125"/>
        <v>#REF!</v>
      </c>
      <c r="K1460" s="77" t="e">
        <f t="shared" si="125"/>
        <v>#REF!</v>
      </c>
      <c r="L1460" s="77">
        <f t="shared" si="125"/>
        <v>3821512</v>
      </c>
      <c r="M1460" s="77">
        <f t="shared" si="125"/>
        <v>5074669</v>
      </c>
      <c r="N1460" s="77">
        <f t="shared" si="125"/>
        <v>1811575.11</v>
      </c>
      <c r="O1460" s="834">
        <f>N1460/M1460</f>
        <v>0.35698389589547613</v>
      </c>
      <c r="P1460" s="764" t="s">
        <v>395</v>
      </c>
      <c r="Q1460" s="650"/>
    </row>
    <row r="1461" spans="1:20" s="230" customFormat="1" ht="59.25" customHeight="1">
      <c r="A1461" s="429"/>
      <c r="B1461" s="172" t="s">
        <v>33</v>
      </c>
      <c r="C1461" s="171"/>
      <c r="D1461" s="192"/>
      <c r="E1461" s="191" t="s">
        <v>32</v>
      </c>
      <c r="F1461" s="409" t="e">
        <f>#REF!+F1485</f>
        <v>#REF!</v>
      </c>
      <c r="G1461" s="409" t="e">
        <f>#REF!+G1485</f>
        <v>#REF!</v>
      </c>
      <c r="H1461" s="409" t="e">
        <f>#REF!+H1485</f>
        <v>#REF!</v>
      </c>
      <c r="I1461" s="409" t="e">
        <f>#REF!+I1485</f>
        <v>#REF!</v>
      </c>
      <c r="J1461" s="409" t="e">
        <f>#REF!+J1485</f>
        <v>#REF!</v>
      </c>
      <c r="K1461" s="409" t="e">
        <f>#REF!+K1485</f>
        <v>#REF!</v>
      </c>
      <c r="L1461" s="92">
        <f>L1462+L1485</f>
        <v>972412</v>
      </c>
      <c r="M1461" s="92">
        <f t="shared" ref="M1461:N1461" si="126">M1462+M1485</f>
        <v>2208716</v>
      </c>
      <c r="N1461" s="92">
        <f t="shared" si="126"/>
        <v>459966.13</v>
      </c>
      <c r="O1461" s="755">
        <f>N1461/M1461</f>
        <v>0.20825046316502438</v>
      </c>
      <c r="P1461" s="791" t="s">
        <v>395</v>
      </c>
      <c r="Q1461" s="674"/>
    </row>
    <row r="1462" spans="1:20" s="186" customFormat="1" ht="84" customHeight="1">
      <c r="A1462" s="735"/>
      <c r="B1462" s="916"/>
      <c r="C1462" s="481">
        <v>1</v>
      </c>
      <c r="D1462" s="445"/>
      <c r="E1462" s="446" t="s">
        <v>239</v>
      </c>
      <c r="F1462" s="447">
        <v>701000</v>
      </c>
      <c r="G1462" s="419"/>
      <c r="H1462" s="419"/>
      <c r="I1462" s="419"/>
      <c r="J1462" s="419"/>
      <c r="K1462" s="419"/>
      <c r="L1462" s="419">
        <f>L1463+L1471</f>
        <v>962412</v>
      </c>
      <c r="M1462" s="419">
        <f t="shared" ref="M1462:N1462" si="127">M1463+M1471</f>
        <v>994092</v>
      </c>
      <c r="N1462" s="419">
        <f t="shared" si="127"/>
        <v>459966.13</v>
      </c>
      <c r="O1462" s="845">
        <f>N1462/M1462</f>
        <v>0.46269976018316211</v>
      </c>
      <c r="P1462" s="780" t="s">
        <v>395</v>
      </c>
      <c r="Q1462" s="908"/>
      <c r="R1462" s="664"/>
    </row>
    <row r="1463" spans="1:20" s="927" customFormat="1" ht="56.1" customHeight="1">
      <c r="A1463" s="917"/>
      <c r="B1463" s="918"/>
      <c r="C1463" s="919"/>
      <c r="D1463" s="920" t="s">
        <v>411</v>
      </c>
      <c r="E1463" s="921" t="s">
        <v>412</v>
      </c>
      <c r="F1463" s="922">
        <f>422251+13778+31971+82100+500</f>
        <v>550600</v>
      </c>
      <c r="G1463" s="922" t="e">
        <f>#REF!</f>
        <v>#REF!</v>
      </c>
      <c r="H1463" s="922" t="e">
        <f>#REF!</f>
        <v>#REF!</v>
      </c>
      <c r="I1463" s="922" t="e">
        <f>#REF!</f>
        <v>#REF!</v>
      </c>
      <c r="J1463" s="922" t="e">
        <f>#REF!</f>
        <v>#REF!</v>
      </c>
      <c r="K1463" s="922" t="e">
        <f>#REF!</f>
        <v>#REF!</v>
      </c>
      <c r="L1463" s="922">
        <f>SUM(L1464:L1470)</f>
        <v>742000</v>
      </c>
      <c r="M1463" s="922">
        <f t="shared" ref="M1463:N1463" si="128">SUM(M1464:M1470)</f>
        <v>751500</v>
      </c>
      <c r="N1463" s="922">
        <f t="shared" si="128"/>
        <v>346160.56</v>
      </c>
      <c r="O1463" s="923">
        <f t="shared" ref="O1463:O1481" si="129">N1463/M1463</f>
        <v>0.46062616101131071</v>
      </c>
      <c r="P1463" s="924" t="s">
        <v>395</v>
      </c>
      <c r="Q1463" s="925"/>
      <c r="R1463" s="926"/>
    </row>
    <row r="1464" spans="1:20" s="941" customFormat="1" ht="46.5" customHeight="1">
      <c r="A1464" s="928"/>
      <c r="B1464" s="929"/>
      <c r="C1464" s="930"/>
      <c r="D1464" s="931"/>
      <c r="E1464" s="932" t="s">
        <v>431</v>
      </c>
      <c r="F1464" s="933"/>
      <c r="G1464" s="933"/>
      <c r="H1464" s="933"/>
      <c r="I1464" s="933"/>
      <c r="J1464" s="934"/>
      <c r="K1464" s="934"/>
      <c r="L1464" s="935">
        <v>356676</v>
      </c>
      <c r="M1464" s="935">
        <v>366176</v>
      </c>
      <c r="N1464" s="936">
        <v>150092.01</v>
      </c>
      <c r="O1464" s="937">
        <f t="shared" si="129"/>
        <v>0.4098903532727432</v>
      </c>
      <c r="P1464" s="938" t="s">
        <v>395</v>
      </c>
      <c r="Q1464" s="939"/>
      <c r="R1464" s="940"/>
    </row>
    <row r="1465" spans="1:20" s="941" customFormat="1" ht="46.5" customHeight="1">
      <c r="A1465" s="928"/>
      <c r="B1465" s="929"/>
      <c r="C1465" s="930"/>
      <c r="D1465" s="931"/>
      <c r="E1465" s="932" t="s">
        <v>413</v>
      </c>
      <c r="F1465" s="933"/>
      <c r="G1465" s="933"/>
      <c r="H1465" s="933"/>
      <c r="I1465" s="933"/>
      <c r="J1465" s="934"/>
      <c r="K1465" s="934"/>
      <c r="L1465" s="935">
        <v>0</v>
      </c>
      <c r="M1465" s="935">
        <v>0</v>
      </c>
      <c r="N1465" s="936">
        <v>0</v>
      </c>
      <c r="O1465" s="937">
        <v>0</v>
      </c>
      <c r="P1465" s="938" t="s">
        <v>395</v>
      </c>
      <c r="Q1465" s="939"/>
      <c r="R1465" s="940"/>
    </row>
    <row r="1466" spans="1:20" s="941" customFormat="1" ht="56.25" customHeight="1">
      <c r="A1466" s="928"/>
      <c r="B1466" s="929"/>
      <c r="C1466" s="930"/>
      <c r="D1466" s="931"/>
      <c r="E1466" s="932" t="s">
        <v>432</v>
      </c>
      <c r="F1466" s="933"/>
      <c r="G1466" s="933"/>
      <c r="H1466" s="933"/>
      <c r="I1466" s="933"/>
      <c r="J1466" s="934"/>
      <c r="K1466" s="934"/>
      <c r="L1466" s="935">
        <v>30324</v>
      </c>
      <c r="M1466" s="935">
        <v>30324</v>
      </c>
      <c r="N1466" s="936">
        <v>0</v>
      </c>
      <c r="O1466" s="937">
        <v>0</v>
      </c>
      <c r="P1466" s="938" t="s">
        <v>395</v>
      </c>
      <c r="Q1466" s="939"/>
      <c r="R1466" s="940"/>
    </row>
    <row r="1467" spans="1:20" s="941" customFormat="1" ht="57.75" customHeight="1">
      <c r="A1467" s="928"/>
      <c r="B1467" s="929"/>
      <c r="C1467" s="930"/>
      <c r="D1467" s="931"/>
      <c r="E1467" s="932" t="s">
        <v>433</v>
      </c>
      <c r="F1467" s="933"/>
      <c r="G1467" s="933"/>
      <c r="H1467" s="933"/>
      <c r="I1467" s="933"/>
      <c r="J1467" s="934"/>
      <c r="K1467" s="934"/>
      <c r="L1467" s="935">
        <v>210000</v>
      </c>
      <c r="M1467" s="935">
        <v>210000</v>
      </c>
      <c r="N1467" s="936">
        <v>107951.27</v>
      </c>
      <c r="O1467" s="937">
        <f t="shared" ref="O1467" si="130">N1467/M1467</f>
        <v>0.51405366666666663</v>
      </c>
      <c r="P1467" s="938" t="s">
        <v>395</v>
      </c>
      <c r="Q1467" s="939"/>
      <c r="R1467" s="940"/>
    </row>
    <row r="1468" spans="1:20" s="941" customFormat="1" ht="46.5" customHeight="1">
      <c r="A1468" s="928"/>
      <c r="B1468" s="929"/>
      <c r="C1468" s="930"/>
      <c r="D1468" s="931"/>
      <c r="E1468" s="932" t="s">
        <v>414</v>
      </c>
      <c r="F1468" s="933"/>
      <c r="G1468" s="933"/>
      <c r="H1468" s="933"/>
      <c r="I1468" s="933"/>
      <c r="J1468" s="934"/>
      <c r="K1468" s="934"/>
      <c r="L1468" s="935">
        <v>37000</v>
      </c>
      <c r="M1468" s="935">
        <v>37000</v>
      </c>
      <c r="N1468" s="936">
        <v>36629.35</v>
      </c>
      <c r="O1468" s="937">
        <f t="shared" si="129"/>
        <v>0.98998243243243245</v>
      </c>
      <c r="P1468" s="938" t="s">
        <v>395</v>
      </c>
      <c r="Q1468" s="939"/>
      <c r="R1468" s="940"/>
    </row>
    <row r="1469" spans="1:20" s="941" customFormat="1" ht="46.5" customHeight="1">
      <c r="A1469" s="928"/>
      <c r="B1469" s="929"/>
      <c r="C1469" s="930"/>
      <c r="D1469" s="931"/>
      <c r="E1469" s="932" t="s">
        <v>415</v>
      </c>
      <c r="F1469" s="933"/>
      <c r="G1469" s="933"/>
      <c r="H1469" s="933"/>
      <c r="I1469" s="933"/>
      <c r="J1469" s="934"/>
      <c r="K1469" s="934"/>
      <c r="L1469" s="935">
        <v>0</v>
      </c>
      <c r="M1469" s="935">
        <v>0</v>
      </c>
      <c r="N1469" s="936">
        <v>0</v>
      </c>
      <c r="O1469" s="937">
        <v>0</v>
      </c>
      <c r="P1469" s="938" t="s">
        <v>395</v>
      </c>
      <c r="Q1469" s="939"/>
      <c r="R1469" s="940"/>
    </row>
    <row r="1470" spans="1:20" s="941" customFormat="1" ht="46.5" customHeight="1">
      <c r="A1470" s="928"/>
      <c r="B1470" s="929"/>
      <c r="C1470" s="930"/>
      <c r="D1470" s="931"/>
      <c r="E1470" s="932" t="s">
        <v>416</v>
      </c>
      <c r="F1470" s="933"/>
      <c r="G1470" s="933"/>
      <c r="H1470" s="933"/>
      <c r="I1470" s="933"/>
      <c r="J1470" s="934"/>
      <c r="K1470" s="934"/>
      <c r="L1470" s="935">
        <v>108000</v>
      </c>
      <c r="M1470" s="935">
        <v>108000</v>
      </c>
      <c r="N1470" s="936">
        <v>51487.93</v>
      </c>
      <c r="O1470" s="937">
        <f t="shared" si="129"/>
        <v>0.47674009259259259</v>
      </c>
      <c r="P1470" s="938" t="s">
        <v>395</v>
      </c>
      <c r="Q1470" s="939"/>
      <c r="R1470" s="940"/>
    </row>
    <row r="1471" spans="1:20" s="927" customFormat="1" ht="59.25" customHeight="1">
      <c r="A1471" s="917"/>
      <c r="B1471" s="918"/>
      <c r="C1471" s="919"/>
      <c r="D1471" s="920" t="s">
        <v>417</v>
      </c>
      <c r="E1471" s="921" t="s">
        <v>418</v>
      </c>
      <c r="F1471" s="922">
        <f>27300+4500+1400+1000+800+3800+4900+15600+36000+109100</f>
        <v>204400</v>
      </c>
      <c r="G1471" s="922"/>
      <c r="H1471" s="922"/>
      <c r="I1471" s="922"/>
      <c r="J1471" s="942"/>
      <c r="K1471" s="942"/>
      <c r="L1471" s="943">
        <f>SUM(L1472:L1484)</f>
        <v>220412</v>
      </c>
      <c r="M1471" s="943">
        <f>SUM(M1472:M1484)</f>
        <v>242592</v>
      </c>
      <c r="N1471" s="943">
        <f>SUM(N1472:N1484)</f>
        <v>113805.56999999999</v>
      </c>
      <c r="O1471" s="923">
        <f t="shared" si="129"/>
        <v>0.46912334289671542</v>
      </c>
      <c r="P1471" s="924" t="s">
        <v>395</v>
      </c>
      <c r="Q1471" s="925"/>
      <c r="R1471" s="926"/>
    </row>
    <row r="1472" spans="1:20" s="941" customFormat="1" ht="87.6" customHeight="1">
      <c r="A1472" s="928"/>
      <c r="B1472" s="929"/>
      <c r="C1472" s="930"/>
      <c r="D1472" s="931"/>
      <c r="E1472" s="932" t="s">
        <v>419</v>
      </c>
      <c r="F1472" s="933"/>
      <c r="G1472" s="933"/>
      <c r="H1472" s="933"/>
      <c r="I1472" s="933"/>
      <c r="J1472" s="934"/>
      <c r="K1472" s="934"/>
      <c r="L1472" s="935">
        <v>2000</v>
      </c>
      <c r="M1472" s="935">
        <v>2000</v>
      </c>
      <c r="N1472" s="936">
        <v>290.12</v>
      </c>
      <c r="O1472" s="937">
        <f t="shared" si="129"/>
        <v>0.14505999999999999</v>
      </c>
      <c r="P1472" s="938" t="s">
        <v>395</v>
      </c>
      <c r="Q1472" s="939"/>
      <c r="R1472" s="940"/>
    </row>
    <row r="1473" spans="1:18" s="941" customFormat="1" ht="63" customHeight="1">
      <c r="A1473" s="928"/>
      <c r="B1473" s="929"/>
      <c r="C1473" s="930"/>
      <c r="D1473" s="931"/>
      <c r="E1473" s="932" t="s">
        <v>434</v>
      </c>
      <c r="F1473" s="933"/>
      <c r="G1473" s="933"/>
      <c r="H1473" s="933"/>
      <c r="I1473" s="933"/>
      <c r="J1473" s="934"/>
      <c r="K1473" s="934"/>
      <c r="L1473" s="935">
        <v>10000</v>
      </c>
      <c r="M1473" s="935">
        <v>25000</v>
      </c>
      <c r="N1473" s="936">
        <v>17279.87</v>
      </c>
      <c r="O1473" s="937">
        <f t="shared" si="129"/>
        <v>0.6911948</v>
      </c>
      <c r="P1473" s="938" t="s">
        <v>395</v>
      </c>
      <c r="Q1473" s="939"/>
      <c r="R1473" s="940"/>
    </row>
    <row r="1474" spans="1:18" s="941" customFormat="1" ht="59.25" customHeight="1">
      <c r="A1474" s="928"/>
      <c r="B1474" s="929"/>
      <c r="C1474" s="930"/>
      <c r="D1474" s="931"/>
      <c r="E1474" s="932" t="s">
        <v>420</v>
      </c>
      <c r="F1474" s="933"/>
      <c r="G1474" s="933"/>
      <c r="H1474" s="933"/>
      <c r="I1474" s="933"/>
      <c r="J1474" s="934"/>
      <c r="K1474" s="934"/>
      <c r="L1474" s="935">
        <v>2000</v>
      </c>
      <c r="M1474" s="935">
        <v>10000</v>
      </c>
      <c r="N1474" s="936">
        <v>2426.66</v>
      </c>
      <c r="O1474" s="937">
        <f t="shared" si="129"/>
        <v>0.24266599999999999</v>
      </c>
      <c r="P1474" s="938" t="s">
        <v>395</v>
      </c>
      <c r="Q1474" s="939"/>
      <c r="R1474" s="940"/>
    </row>
    <row r="1475" spans="1:18" s="941" customFormat="1" ht="49.5" customHeight="1">
      <c r="A1475" s="928"/>
      <c r="B1475" s="929"/>
      <c r="C1475" s="930"/>
      <c r="D1475" s="931"/>
      <c r="E1475" s="932" t="s">
        <v>421</v>
      </c>
      <c r="F1475" s="933"/>
      <c r="G1475" s="933"/>
      <c r="H1475" s="933"/>
      <c r="I1475" s="933"/>
      <c r="J1475" s="934"/>
      <c r="K1475" s="934"/>
      <c r="L1475" s="935">
        <v>3000</v>
      </c>
      <c r="M1475" s="935">
        <v>5000</v>
      </c>
      <c r="N1475" s="936">
        <v>1196.0899999999999</v>
      </c>
      <c r="O1475" s="937">
        <f>N1475/M1475</f>
        <v>0.23921799999999999</v>
      </c>
      <c r="P1475" s="938" t="s">
        <v>395</v>
      </c>
      <c r="Q1475" s="939"/>
      <c r="R1475" s="940"/>
    </row>
    <row r="1476" spans="1:18" s="941" customFormat="1" ht="49.5" customHeight="1">
      <c r="A1476" s="928"/>
      <c r="B1476" s="929"/>
      <c r="C1476" s="930"/>
      <c r="D1476" s="931"/>
      <c r="E1476" s="932" t="s">
        <v>422</v>
      </c>
      <c r="F1476" s="933"/>
      <c r="G1476" s="933"/>
      <c r="H1476" s="933"/>
      <c r="I1476" s="933"/>
      <c r="J1476" s="934"/>
      <c r="K1476" s="934"/>
      <c r="L1476" s="935">
        <v>2000</v>
      </c>
      <c r="M1476" s="935">
        <v>3000</v>
      </c>
      <c r="N1476" s="936">
        <v>1566.87</v>
      </c>
      <c r="O1476" s="937">
        <v>0</v>
      </c>
      <c r="P1476" s="938" t="s">
        <v>395</v>
      </c>
      <c r="Q1476" s="939"/>
      <c r="R1476" s="940"/>
    </row>
    <row r="1477" spans="1:18" s="941" customFormat="1" ht="49.5" customHeight="1">
      <c r="A1477" s="928"/>
      <c r="B1477" s="929"/>
      <c r="C1477" s="930"/>
      <c r="D1477" s="931"/>
      <c r="E1477" s="932" t="s">
        <v>423</v>
      </c>
      <c r="F1477" s="933"/>
      <c r="G1477" s="933"/>
      <c r="H1477" s="933"/>
      <c r="I1477" s="933"/>
      <c r="J1477" s="934"/>
      <c r="K1477" s="934"/>
      <c r="L1477" s="935">
        <v>26300</v>
      </c>
      <c r="M1477" s="935">
        <v>26300</v>
      </c>
      <c r="N1477" s="936">
        <v>12893.56</v>
      </c>
      <c r="O1477" s="937">
        <f t="shared" si="129"/>
        <v>0.49024942965779467</v>
      </c>
      <c r="P1477" s="938" t="s">
        <v>395</v>
      </c>
      <c r="Q1477" s="939"/>
      <c r="R1477" s="940"/>
    </row>
    <row r="1478" spans="1:18" s="941" customFormat="1" ht="49.5" customHeight="1">
      <c r="A1478" s="928"/>
      <c r="B1478" s="929"/>
      <c r="C1478" s="930"/>
      <c r="D1478" s="931"/>
      <c r="E1478" s="932" t="s">
        <v>424</v>
      </c>
      <c r="F1478" s="933"/>
      <c r="G1478" s="933"/>
      <c r="H1478" s="933"/>
      <c r="I1478" s="933"/>
      <c r="J1478" s="934"/>
      <c r="K1478" s="934"/>
      <c r="L1478" s="935">
        <v>2500</v>
      </c>
      <c r="M1478" s="935">
        <v>2500</v>
      </c>
      <c r="N1478" s="936">
        <v>1166.75</v>
      </c>
      <c r="O1478" s="937">
        <f t="shared" si="129"/>
        <v>0.4667</v>
      </c>
      <c r="P1478" s="938" t="s">
        <v>395</v>
      </c>
      <c r="Q1478" s="939"/>
      <c r="R1478" s="940"/>
    </row>
    <row r="1479" spans="1:18" s="941" customFormat="1" ht="49.5" customHeight="1">
      <c r="A1479" s="928"/>
      <c r="B1479" s="929"/>
      <c r="C1479" s="930"/>
      <c r="D1479" s="931"/>
      <c r="E1479" s="932" t="s">
        <v>425</v>
      </c>
      <c r="F1479" s="933"/>
      <c r="G1479" s="933"/>
      <c r="H1479" s="933"/>
      <c r="I1479" s="933"/>
      <c r="J1479" s="934"/>
      <c r="K1479" s="934"/>
      <c r="L1479" s="935">
        <v>3300</v>
      </c>
      <c r="M1479" s="935">
        <v>3300</v>
      </c>
      <c r="N1479" s="936">
        <v>2212.34</v>
      </c>
      <c r="O1479" s="937">
        <f t="shared" si="129"/>
        <v>0.67040606060606067</v>
      </c>
      <c r="P1479" s="938" t="s">
        <v>395</v>
      </c>
      <c r="Q1479" s="939"/>
      <c r="R1479" s="940"/>
    </row>
    <row r="1480" spans="1:18" s="941" customFormat="1" ht="49.5" customHeight="1">
      <c r="A1480" s="928"/>
      <c r="B1480" s="929"/>
      <c r="C1480" s="930"/>
      <c r="D1480" s="931"/>
      <c r="E1480" s="932" t="s">
        <v>426</v>
      </c>
      <c r="F1480" s="933"/>
      <c r="G1480" s="933"/>
      <c r="H1480" s="933"/>
      <c r="I1480" s="933"/>
      <c r="J1480" s="934"/>
      <c r="K1480" s="934"/>
      <c r="L1480" s="935">
        <v>19000</v>
      </c>
      <c r="M1480" s="935">
        <v>19000</v>
      </c>
      <c r="N1480" s="936">
        <v>15000</v>
      </c>
      <c r="O1480" s="937">
        <f t="shared" si="129"/>
        <v>0.78947368421052633</v>
      </c>
      <c r="P1480" s="938" t="s">
        <v>395</v>
      </c>
      <c r="Q1480" s="939"/>
      <c r="R1480" s="940"/>
    </row>
    <row r="1481" spans="1:18" s="941" customFormat="1" ht="75.75" customHeight="1">
      <c r="A1481" s="928"/>
      <c r="B1481" s="929"/>
      <c r="C1481" s="930"/>
      <c r="D1481" s="931"/>
      <c r="E1481" s="932" t="s">
        <v>427</v>
      </c>
      <c r="F1481" s="933"/>
      <c r="G1481" s="933"/>
      <c r="H1481" s="933"/>
      <c r="I1481" s="933"/>
      <c r="J1481" s="934"/>
      <c r="K1481" s="934"/>
      <c r="L1481" s="935">
        <v>30000</v>
      </c>
      <c r="M1481" s="935">
        <v>30000</v>
      </c>
      <c r="N1481" s="936">
        <v>9525.0300000000007</v>
      </c>
      <c r="O1481" s="937">
        <f t="shared" si="129"/>
        <v>0.31750100000000003</v>
      </c>
      <c r="P1481" s="938" t="s">
        <v>395</v>
      </c>
      <c r="Q1481" s="939"/>
      <c r="R1481" s="940"/>
    </row>
    <row r="1482" spans="1:18" s="941" customFormat="1" ht="49.5" customHeight="1">
      <c r="A1482" s="928"/>
      <c r="B1482" s="929"/>
      <c r="C1482" s="930"/>
      <c r="D1482" s="931"/>
      <c r="E1482" s="932" t="s">
        <v>428</v>
      </c>
      <c r="F1482" s="933"/>
      <c r="G1482" s="933"/>
      <c r="H1482" s="933"/>
      <c r="I1482" s="933"/>
      <c r="J1482" s="934"/>
      <c r="K1482" s="934"/>
      <c r="L1482" s="935">
        <v>1100</v>
      </c>
      <c r="M1482" s="935">
        <v>1100</v>
      </c>
      <c r="N1482" s="936">
        <v>362.1</v>
      </c>
      <c r="O1482" s="937">
        <f>N1482/M1482</f>
        <v>0.32918181818181819</v>
      </c>
      <c r="P1482" s="938" t="s">
        <v>395</v>
      </c>
      <c r="Q1482" s="939"/>
      <c r="R1482" s="940"/>
    </row>
    <row r="1483" spans="1:18" s="941" customFormat="1" ht="49.5" customHeight="1">
      <c r="A1483" s="928"/>
      <c r="B1483" s="929"/>
      <c r="C1483" s="930"/>
      <c r="D1483" s="931"/>
      <c r="E1483" s="932" t="s">
        <v>429</v>
      </c>
      <c r="F1483" s="933"/>
      <c r="G1483" s="933"/>
      <c r="H1483" s="933"/>
      <c r="I1483" s="933"/>
      <c r="J1483" s="934"/>
      <c r="K1483" s="934"/>
      <c r="L1483" s="935">
        <v>4000</v>
      </c>
      <c r="M1483" s="935">
        <v>6000</v>
      </c>
      <c r="N1483" s="936">
        <v>1615</v>
      </c>
      <c r="O1483" s="937">
        <f t="shared" ref="O1483:O1484" si="131">N1483/M1483</f>
        <v>0.26916666666666667</v>
      </c>
      <c r="P1483" s="938" t="s">
        <v>395</v>
      </c>
      <c r="Q1483" s="939"/>
      <c r="R1483" s="940"/>
    </row>
    <row r="1484" spans="1:18" s="941" customFormat="1" ht="49.5" customHeight="1">
      <c r="A1484" s="928"/>
      <c r="B1484" s="929"/>
      <c r="C1484" s="930"/>
      <c r="D1484" s="931"/>
      <c r="E1484" s="932" t="s">
        <v>430</v>
      </c>
      <c r="F1484" s="933"/>
      <c r="G1484" s="933"/>
      <c r="H1484" s="933"/>
      <c r="I1484" s="933"/>
      <c r="J1484" s="934"/>
      <c r="K1484" s="934"/>
      <c r="L1484" s="935">
        <v>115212</v>
      </c>
      <c r="M1484" s="935">
        <f>146156-36764</f>
        <v>109392</v>
      </c>
      <c r="N1484" s="936">
        <v>48271.18</v>
      </c>
      <c r="O1484" s="937">
        <f t="shared" si="131"/>
        <v>0.44126791721515285</v>
      </c>
      <c r="P1484" s="938" t="s">
        <v>395</v>
      </c>
      <c r="Q1484" s="939"/>
      <c r="R1484" s="940"/>
    </row>
    <row r="1485" spans="1:18" s="570" customFormat="1" ht="75.75" customHeight="1">
      <c r="A1485" s="429"/>
      <c r="B1485" s="485"/>
      <c r="C1485" s="1155">
        <v>2</v>
      </c>
      <c r="D1485" s="1158"/>
      <c r="E1485" s="569" t="s">
        <v>249</v>
      </c>
      <c r="F1485" s="565"/>
      <c r="G1485" s="564"/>
      <c r="H1485" s="564">
        <v>5500</v>
      </c>
      <c r="I1485" s="564"/>
      <c r="J1485" s="564"/>
      <c r="K1485" s="564">
        <f>1000+3500</f>
        <v>4500</v>
      </c>
      <c r="L1485" s="564">
        <f t="shared" ref="L1485:L1491" si="132">SUM(F1485:K1485)</f>
        <v>10000</v>
      </c>
      <c r="M1485" s="564">
        <v>1214624</v>
      </c>
      <c r="N1485" s="564">
        <v>0</v>
      </c>
      <c r="O1485" s="763">
        <v>0</v>
      </c>
      <c r="P1485" s="781" t="s">
        <v>395</v>
      </c>
      <c r="Q1485" s="665"/>
    </row>
    <row r="1486" spans="1:18" s="941" customFormat="1" ht="49.5" customHeight="1">
      <c r="A1486" s="928"/>
      <c r="B1486" s="929"/>
      <c r="C1486" s="1159"/>
      <c r="D1486" s="1160"/>
      <c r="E1486" s="1292" t="s">
        <v>766</v>
      </c>
      <c r="F1486" s="1292"/>
      <c r="G1486" s="1292"/>
      <c r="H1486" s="1292"/>
      <c r="I1486" s="1292"/>
      <c r="J1486" s="1292"/>
      <c r="K1486" s="1292"/>
      <c r="L1486" s="1292"/>
      <c r="M1486" s="1292"/>
      <c r="N1486" s="1292"/>
      <c r="O1486" s="1293"/>
      <c r="P1486" s="938" t="s">
        <v>395</v>
      </c>
      <c r="Q1486" s="939"/>
      <c r="R1486" s="940"/>
    </row>
    <row r="1487" spans="1:18" s="230" customFormat="1" ht="59.25" customHeight="1">
      <c r="A1487" s="429"/>
      <c r="B1487" s="75">
        <v>85205</v>
      </c>
      <c r="C1487" s="74"/>
      <c r="D1487" s="176"/>
      <c r="E1487" s="385" t="s">
        <v>261</v>
      </c>
      <c r="F1487" s="409">
        <f t="shared" ref="F1487:K1487" si="133">F1488</f>
        <v>0</v>
      </c>
      <c r="G1487" s="409">
        <f t="shared" si="133"/>
        <v>0</v>
      </c>
      <c r="H1487" s="409">
        <f t="shared" si="133"/>
        <v>0</v>
      </c>
      <c r="I1487" s="409">
        <f t="shared" si="133"/>
        <v>0</v>
      </c>
      <c r="J1487" s="409">
        <f t="shared" si="133"/>
        <v>0</v>
      </c>
      <c r="K1487" s="409">
        <f t="shared" si="133"/>
        <v>3000</v>
      </c>
      <c r="L1487" s="92">
        <f t="shared" si="132"/>
        <v>3000</v>
      </c>
      <c r="M1487" s="92">
        <f>M1488</f>
        <v>3000</v>
      </c>
      <c r="N1487" s="92">
        <f>N1488</f>
        <v>2000</v>
      </c>
      <c r="O1487" s="755">
        <f t="shared" ref="O1487:O1494" si="134">N1487/M1487</f>
        <v>0.66666666666666663</v>
      </c>
      <c r="P1487" s="791" t="s">
        <v>395</v>
      </c>
      <c r="Q1487" s="674"/>
    </row>
    <row r="1488" spans="1:18" s="570" customFormat="1" ht="82.5" customHeight="1">
      <c r="A1488" s="429"/>
      <c r="B1488" s="465"/>
      <c r="C1488" s="449">
        <v>1</v>
      </c>
      <c r="D1488" s="445"/>
      <c r="E1488" s="569" t="s">
        <v>281</v>
      </c>
      <c r="F1488" s="447"/>
      <c r="G1488" s="419"/>
      <c r="H1488" s="419"/>
      <c r="I1488" s="419"/>
      <c r="J1488" s="419"/>
      <c r="K1488" s="419">
        <v>3000</v>
      </c>
      <c r="L1488" s="419">
        <f t="shared" si="132"/>
        <v>3000</v>
      </c>
      <c r="M1488" s="419">
        <v>3000</v>
      </c>
      <c r="N1488" s="419">
        <v>2000</v>
      </c>
      <c r="O1488" s="845">
        <f t="shared" si="134"/>
        <v>0.66666666666666663</v>
      </c>
      <c r="P1488" s="781" t="s">
        <v>395</v>
      </c>
      <c r="Q1488" s="665"/>
    </row>
    <row r="1489" spans="1:18" s="165" customFormat="1" ht="121.5" customHeight="1">
      <c r="A1489" s="487"/>
      <c r="B1489" s="75">
        <v>85213</v>
      </c>
      <c r="C1489" s="74"/>
      <c r="D1489" s="176"/>
      <c r="E1489" s="175" t="s">
        <v>154</v>
      </c>
      <c r="F1489" s="409">
        <f t="shared" ref="F1489:K1489" si="135">SUM(F1490:F1491)</f>
        <v>25000</v>
      </c>
      <c r="G1489" s="409">
        <f t="shared" si="135"/>
        <v>0</v>
      </c>
      <c r="H1489" s="409">
        <f t="shared" si="135"/>
        <v>0</v>
      </c>
      <c r="I1489" s="409">
        <f t="shared" si="135"/>
        <v>0</v>
      </c>
      <c r="J1489" s="409">
        <f t="shared" si="135"/>
        <v>0</v>
      </c>
      <c r="K1489" s="409">
        <f t="shared" si="135"/>
        <v>21800</v>
      </c>
      <c r="L1489" s="92">
        <f>L1490+L1491</f>
        <v>46800</v>
      </c>
      <c r="M1489" s="92">
        <f t="shared" ref="M1489:N1489" si="136">M1490+M1491</f>
        <v>44300</v>
      </c>
      <c r="N1489" s="92">
        <f t="shared" si="136"/>
        <v>23051.53</v>
      </c>
      <c r="O1489" s="755">
        <f t="shared" si="134"/>
        <v>0.52035056433408577</v>
      </c>
      <c r="P1489" s="780" t="s">
        <v>395</v>
      </c>
      <c r="Q1489" s="664"/>
    </row>
    <row r="1490" spans="1:18" s="47" customFormat="1" ht="95.25" customHeight="1">
      <c r="A1490" s="429"/>
      <c r="B1490" s="229"/>
      <c r="C1490" s="228">
        <v>1</v>
      </c>
      <c r="D1490" s="227"/>
      <c r="E1490" s="226" t="s">
        <v>279</v>
      </c>
      <c r="F1490" s="447">
        <v>25000</v>
      </c>
      <c r="G1490" s="419"/>
      <c r="H1490" s="419"/>
      <c r="I1490" s="419"/>
      <c r="J1490" s="419"/>
      <c r="K1490" s="419"/>
      <c r="L1490" s="419">
        <f t="shared" si="132"/>
        <v>25000</v>
      </c>
      <c r="M1490" s="419">
        <v>22500</v>
      </c>
      <c r="N1490" s="419">
        <v>13265.79</v>
      </c>
      <c r="O1490" s="845">
        <f t="shared" si="134"/>
        <v>0.58959066666666671</v>
      </c>
      <c r="P1490" s="792" t="s">
        <v>395</v>
      </c>
      <c r="Q1490" s="664"/>
    </row>
    <row r="1491" spans="1:18" s="165" customFormat="1" ht="95.25" customHeight="1">
      <c r="A1491" s="429"/>
      <c r="B1491" s="216"/>
      <c r="C1491" s="222">
        <v>2</v>
      </c>
      <c r="D1491" s="221"/>
      <c r="E1491" s="225" t="s">
        <v>280</v>
      </c>
      <c r="F1491" s="205"/>
      <c r="G1491" s="451"/>
      <c r="H1491" s="451"/>
      <c r="I1491" s="451"/>
      <c r="J1491" s="451"/>
      <c r="K1491" s="451">
        <v>21800</v>
      </c>
      <c r="L1491" s="451">
        <f t="shared" si="132"/>
        <v>21800</v>
      </c>
      <c r="M1491" s="451">
        <v>21800</v>
      </c>
      <c r="N1491" s="451">
        <v>9785.74</v>
      </c>
      <c r="O1491" s="837">
        <f t="shared" si="134"/>
        <v>0.44888715596330275</v>
      </c>
      <c r="P1491" s="792" t="s">
        <v>395</v>
      </c>
      <c r="Q1491" s="664"/>
    </row>
    <row r="1492" spans="1:18" s="165" customFormat="1" ht="72.75" customHeight="1">
      <c r="A1492" s="487"/>
      <c r="B1492" s="75" t="s">
        <v>31</v>
      </c>
      <c r="C1492" s="74"/>
      <c r="D1492" s="176"/>
      <c r="E1492" s="175" t="s">
        <v>30</v>
      </c>
      <c r="F1492" s="409">
        <f t="shared" ref="F1492:L1492" si="137">F1493+F1494+F1498</f>
        <v>0</v>
      </c>
      <c r="G1492" s="409">
        <f t="shared" si="137"/>
        <v>0</v>
      </c>
      <c r="H1492" s="409">
        <f t="shared" si="137"/>
        <v>0</v>
      </c>
      <c r="I1492" s="409">
        <f t="shared" si="137"/>
        <v>0</v>
      </c>
      <c r="J1492" s="409">
        <f t="shared" si="137"/>
        <v>0</v>
      </c>
      <c r="K1492" s="409">
        <f t="shared" si="137"/>
        <v>374000</v>
      </c>
      <c r="L1492" s="92">
        <f t="shared" si="137"/>
        <v>374000</v>
      </c>
      <c r="M1492" s="92">
        <f t="shared" ref="M1492:N1492" si="138">M1493+M1494+M1498</f>
        <v>374000</v>
      </c>
      <c r="N1492" s="92">
        <f t="shared" si="138"/>
        <v>143823.30000000002</v>
      </c>
      <c r="O1492" s="755">
        <f t="shared" si="134"/>
        <v>0.38455427807486636</v>
      </c>
      <c r="P1492" s="780" t="s">
        <v>395</v>
      </c>
      <c r="Q1492" s="664"/>
    </row>
    <row r="1493" spans="1:18" s="165" customFormat="1" ht="111" customHeight="1">
      <c r="A1493" s="429"/>
      <c r="B1493" s="216"/>
      <c r="C1493" s="222">
        <v>1</v>
      </c>
      <c r="D1493" s="221"/>
      <c r="E1493" s="225" t="s">
        <v>349</v>
      </c>
      <c r="F1493" s="219"/>
      <c r="G1493" s="84"/>
      <c r="H1493" s="84"/>
      <c r="I1493" s="84"/>
      <c r="J1493" s="84"/>
      <c r="K1493" s="460">
        <v>64000</v>
      </c>
      <c r="L1493" s="460">
        <f>SUM(F1493:K1493)</f>
        <v>64000</v>
      </c>
      <c r="M1493" s="460">
        <v>64000</v>
      </c>
      <c r="N1493" s="460">
        <v>24020.32</v>
      </c>
      <c r="O1493" s="887">
        <f t="shared" si="134"/>
        <v>0.37531749999999997</v>
      </c>
      <c r="P1493" s="792" t="s">
        <v>395</v>
      </c>
      <c r="Q1493" s="664"/>
    </row>
    <row r="1494" spans="1:18" s="47" customFormat="1" ht="71.25" customHeight="1">
      <c r="A1494" s="429"/>
      <c r="B1494" s="216"/>
      <c r="C1494" s="28">
        <v>2</v>
      </c>
      <c r="D1494" s="215"/>
      <c r="E1494" s="218" t="s">
        <v>278</v>
      </c>
      <c r="F1494" s="217"/>
      <c r="G1494" s="89"/>
      <c r="H1494" s="89"/>
      <c r="I1494" s="89"/>
      <c r="J1494" s="89"/>
      <c r="K1494" s="272">
        <f>SUM(K1496:K1497)</f>
        <v>180000</v>
      </c>
      <c r="L1494" s="272">
        <f>SUM(F1494:K1494)</f>
        <v>180000</v>
      </c>
      <c r="M1494" s="272">
        <f>M1496+M1497</f>
        <v>180000</v>
      </c>
      <c r="N1494" s="272">
        <f>N1496+N1497</f>
        <v>57126</v>
      </c>
      <c r="O1494" s="875">
        <f t="shared" si="134"/>
        <v>0.31736666666666669</v>
      </c>
      <c r="P1494" s="780" t="s">
        <v>395</v>
      </c>
      <c r="Q1494" s="664"/>
    </row>
    <row r="1495" spans="1:18" s="193" customFormat="1" ht="31.5" customHeight="1">
      <c r="A1495" s="429"/>
      <c r="B1495" s="216"/>
      <c r="C1495" s="28"/>
      <c r="D1495" s="215"/>
      <c r="E1495" s="224" t="s">
        <v>13</v>
      </c>
      <c r="F1495" s="217"/>
      <c r="G1495" s="89"/>
      <c r="H1495" s="89"/>
      <c r="I1495" s="89"/>
      <c r="J1495" s="89"/>
      <c r="K1495" s="89"/>
      <c r="L1495" s="89"/>
      <c r="M1495" s="89"/>
      <c r="N1495" s="89"/>
      <c r="O1495" s="835"/>
      <c r="P1495" s="781"/>
      <c r="Q1495" s="665"/>
    </row>
    <row r="1496" spans="1:18" s="47" customFormat="1" ht="40.5" customHeight="1">
      <c r="A1496" s="429"/>
      <c r="B1496" s="216"/>
      <c r="C1496" s="28"/>
      <c r="D1496" s="215"/>
      <c r="E1496" s="462" t="s">
        <v>150</v>
      </c>
      <c r="F1496" s="217"/>
      <c r="G1496" s="89"/>
      <c r="H1496" s="89"/>
      <c r="I1496" s="89"/>
      <c r="J1496" s="89"/>
      <c r="K1496" s="105">
        <v>160000</v>
      </c>
      <c r="L1496" s="105">
        <f t="shared" ref="L1496:L1506" si="139">SUM(F1496:K1496)</f>
        <v>160000</v>
      </c>
      <c r="M1496" s="105">
        <v>160000</v>
      </c>
      <c r="N1496" s="105">
        <v>54250</v>
      </c>
      <c r="O1496" s="846"/>
      <c r="P1496" s="780"/>
      <c r="Q1496" s="664"/>
    </row>
    <row r="1497" spans="1:18" s="430" customFormat="1" ht="40.5" customHeight="1">
      <c r="A1497" s="429"/>
      <c r="B1497" s="216"/>
      <c r="C1497" s="448"/>
      <c r="D1497" s="444"/>
      <c r="E1497" s="462" t="s">
        <v>240</v>
      </c>
      <c r="F1497" s="217"/>
      <c r="G1497" s="89"/>
      <c r="H1497" s="89"/>
      <c r="I1497" s="89"/>
      <c r="J1497" s="89"/>
      <c r="K1497" s="105">
        <v>20000</v>
      </c>
      <c r="L1497" s="105">
        <f t="shared" si="139"/>
        <v>20000</v>
      </c>
      <c r="M1497" s="105">
        <v>20000</v>
      </c>
      <c r="N1497" s="105">
        <v>2876</v>
      </c>
      <c r="O1497" s="846"/>
      <c r="P1497" s="780"/>
      <c r="Q1497" s="664"/>
    </row>
    <row r="1498" spans="1:18" s="430" customFormat="1" ht="93.75" customHeight="1">
      <c r="A1498" s="429"/>
      <c r="B1498" s="216"/>
      <c r="C1498" s="204">
        <v>3</v>
      </c>
      <c r="D1498" s="203"/>
      <c r="E1498" s="202" t="s">
        <v>189</v>
      </c>
      <c r="F1498" s="201"/>
      <c r="G1498" s="101"/>
      <c r="H1498" s="101"/>
      <c r="I1498" s="101"/>
      <c r="J1498" s="101"/>
      <c r="K1498" s="476">
        <v>130000</v>
      </c>
      <c r="L1498" s="476">
        <f t="shared" si="139"/>
        <v>130000</v>
      </c>
      <c r="M1498" s="476">
        <v>130000</v>
      </c>
      <c r="N1498" s="476">
        <v>62676.98</v>
      </c>
      <c r="O1498" s="888">
        <f>N1498/M1498</f>
        <v>0.48213061538461544</v>
      </c>
      <c r="P1498" s="780" t="s">
        <v>395</v>
      </c>
      <c r="Q1498" s="664"/>
    </row>
    <row r="1499" spans="1:18" s="64" customFormat="1" ht="55.5" customHeight="1">
      <c r="A1499" s="640"/>
      <c r="B1499" s="75">
        <v>85215</v>
      </c>
      <c r="C1499" s="74"/>
      <c r="D1499" s="73"/>
      <c r="E1499" s="72" t="s">
        <v>29</v>
      </c>
      <c r="F1499" s="409">
        <f t="shared" ref="F1499:K1499" si="140">F1500</f>
        <v>0</v>
      </c>
      <c r="G1499" s="92">
        <f t="shared" si="140"/>
        <v>0</v>
      </c>
      <c r="H1499" s="92">
        <f t="shared" si="140"/>
        <v>0</v>
      </c>
      <c r="I1499" s="92">
        <f t="shared" si="140"/>
        <v>0</v>
      </c>
      <c r="J1499" s="92">
        <f t="shared" si="140"/>
        <v>0</v>
      </c>
      <c r="K1499" s="92">
        <f t="shared" si="140"/>
        <v>400000</v>
      </c>
      <c r="L1499" s="92">
        <f t="shared" si="139"/>
        <v>400000</v>
      </c>
      <c r="M1499" s="92">
        <f>SUM(M1500:M1502)</f>
        <v>402353</v>
      </c>
      <c r="N1499" s="92">
        <f>N1500+N1502</f>
        <v>127214.88</v>
      </c>
      <c r="O1499" s="755">
        <f>N1499/M1499</f>
        <v>0.31617728710858378</v>
      </c>
      <c r="P1499" s="764" t="s">
        <v>395</v>
      </c>
      <c r="Q1499" s="650"/>
    </row>
    <row r="1500" spans="1:18" s="117" customFormat="1" ht="61.5" customHeight="1">
      <c r="A1500" s="641"/>
      <c r="B1500" s="173"/>
      <c r="C1500" s="60">
        <v>1</v>
      </c>
      <c r="D1500" s="93"/>
      <c r="E1500" s="223" t="s">
        <v>167</v>
      </c>
      <c r="F1500" s="187"/>
      <c r="G1500" s="432"/>
      <c r="H1500" s="432"/>
      <c r="I1500" s="432"/>
      <c r="J1500" s="432"/>
      <c r="K1500" s="95">
        <v>400000</v>
      </c>
      <c r="L1500" s="95">
        <f t="shared" si="139"/>
        <v>400000</v>
      </c>
      <c r="M1500" s="95">
        <v>400000</v>
      </c>
      <c r="N1500" s="95">
        <v>125622.11</v>
      </c>
      <c r="O1500" s="843">
        <f>N1500/M1500</f>
        <v>0.31405527500000002</v>
      </c>
      <c r="P1500" s="774" t="s">
        <v>395</v>
      </c>
      <c r="Q1500" s="658"/>
    </row>
    <row r="1501" spans="1:18" s="1167" customFormat="1" ht="81.75" customHeight="1">
      <c r="A1501" s="1165"/>
      <c r="B1501" s="989"/>
      <c r="C1501" s="60"/>
      <c r="D1501" s="425"/>
      <c r="E1501" s="1275" t="s">
        <v>700</v>
      </c>
      <c r="F1501" s="1275"/>
      <c r="G1501" s="1275"/>
      <c r="H1501" s="1275"/>
      <c r="I1501" s="1275"/>
      <c r="J1501" s="1275"/>
      <c r="K1501" s="1275"/>
      <c r="L1501" s="1275"/>
      <c r="M1501" s="1275"/>
      <c r="N1501" s="1275"/>
      <c r="O1501" s="1276"/>
      <c r="P1501" s="659"/>
      <c r="Q1501" s="1166"/>
      <c r="R1501" s="659"/>
    </row>
    <row r="1502" spans="1:18" s="117" customFormat="1" ht="134.25" customHeight="1">
      <c r="A1502" s="1165"/>
      <c r="B1502" s="989"/>
      <c r="C1502" s="560">
        <v>2</v>
      </c>
      <c r="D1502" s="561"/>
      <c r="E1502" s="698" t="s">
        <v>388</v>
      </c>
      <c r="F1502" s="1168"/>
      <c r="G1502" s="599"/>
      <c r="H1502" s="599"/>
      <c r="I1502" s="599"/>
      <c r="J1502" s="599"/>
      <c r="K1502" s="828">
        <v>480000</v>
      </c>
      <c r="L1502" s="828">
        <v>0</v>
      </c>
      <c r="M1502" s="828">
        <v>2353</v>
      </c>
      <c r="N1502" s="828">
        <v>1592.77</v>
      </c>
      <c r="O1502" s="829">
        <f>N1502/M1502</f>
        <v>0.67691032724181899</v>
      </c>
      <c r="P1502" s="658" t="s">
        <v>395</v>
      </c>
      <c r="Q1502" s="816"/>
      <c r="R1502" s="658"/>
    </row>
    <row r="1503" spans="1:18" s="1167" customFormat="1" ht="130.5" customHeight="1">
      <c r="A1503" s="1165"/>
      <c r="B1503" s="989"/>
      <c r="C1503" s="60"/>
      <c r="D1503" s="425"/>
      <c r="E1503" s="1277" t="s">
        <v>767</v>
      </c>
      <c r="F1503" s="1277"/>
      <c r="G1503" s="1277"/>
      <c r="H1503" s="1277"/>
      <c r="I1503" s="1277"/>
      <c r="J1503" s="1277"/>
      <c r="K1503" s="1277"/>
      <c r="L1503" s="1277"/>
      <c r="M1503" s="1277"/>
      <c r="N1503" s="1277"/>
      <c r="O1503" s="1278"/>
      <c r="P1503" s="659"/>
      <c r="Q1503" s="1166"/>
      <c r="R1503" s="659"/>
    </row>
    <row r="1504" spans="1:18" s="165" customFormat="1" ht="55.5" customHeight="1">
      <c r="A1504" s="487"/>
      <c r="B1504" s="75">
        <v>85216</v>
      </c>
      <c r="C1504" s="74"/>
      <c r="D1504" s="176"/>
      <c r="E1504" s="175" t="s">
        <v>28</v>
      </c>
      <c r="F1504" s="409">
        <f>SUM(F1505:F1505)</f>
        <v>0</v>
      </c>
      <c r="G1504" s="409">
        <f>SUM(G1505:G1505)</f>
        <v>0</v>
      </c>
      <c r="H1504" s="409">
        <f>SUM(H1505:H1505)</f>
        <v>0</v>
      </c>
      <c r="I1504" s="92">
        <f>SUM(I1505:I1505)</f>
        <v>0</v>
      </c>
      <c r="J1504" s="409">
        <f>SUM(J1505:J1505)</f>
        <v>0</v>
      </c>
      <c r="K1504" s="409">
        <f>K1505</f>
        <v>184000</v>
      </c>
      <c r="L1504" s="92">
        <f t="shared" si="139"/>
        <v>184000</v>
      </c>
      <c r="M1504" s="92">
        <f>M1505</f>
        <v>184000</v>
      </c>
      <c r="N1504" s="92">
        <f>N1505</f>
        <v>119512.39</v>
      </c>
      <c r="O1504" s="755">
        <f>N1504/M1504</f>
        <v>0.64952385869565221</v>
      </c>
      <c r="P1504" s="780" t="s">
        <v>395</v>
      </c>
      <c r="Q1504" s="664"/>
    </row>
    <row r="1505" spans="1:18" s="165" customFormat="1" ht="101.25" customHeight="1">
      <c r="A1505" s="429"/>
      <c r="B1505" s="216"/>
      <c r="C1505" s="222">
        <v>1</v>
      </c>
      <c r="D1505" s="221"/>
      <c r="E1505" s="220" t="s">
        <v>277</v>
      </c>
      <c r="F1505" s="219"/>
      <c r="G1505" s="84"/>
      <c r="H1505" s="84"/>
      <c r="I1505" s="84"/>
      <c r="J1505" s="84"/>
      <c r="K1505" s="84">
        <v>184000</v>
      </c>
      <c r="L1505" s="84">
        <f t="shared" si="139"/>
        <v>184000</v>
      </c>
      <c r="M1505" s="84">
        <v>184000</v>
      </c>
      <c r="N1505" s="84">
        <v>119512.39</v>
      </c>
      <c r="O1505" s="838">
        <f>N1505/M1505</f>
        <v>0.64952385869565221</v>
      </c>
      <c r="P1505" s="792" t="s">
        <v>395</v>
      </c>
      <c r="Q1505" s="664"/>
    </row>
    <row r="1506" spans="1:18" s="165" customFormat="1" ht="58.5" customHeight="1">
      <c r="A1506" s="487"/>
      <c r="B1506" s="75" t="s">
        <v>27</v>
      </c>
      <c r="C1506" s="74"/>
      <c r="D1506" s="176"/>
      <c r="E1506" s="175" t="s">
        <v>26</v>
      </c>
      <c r="F1506" s="92">
        <f t="shared" ref="F1506:K1506" si="141">F1507+F1521</f>
        <v>0</v>
      </c>
      <c r="G1506" s="92">
        <f t="shared" si="141"/>
        <v>0</v>
      </c>
      <c r="H1506" s="92">
        <f t="shared" si="141"/>
        <v>0</v>
      </c>
      <c r="I1506" s="92">
        <f t="shared" si="141"/>
        <v>0</v>
      </c>
      <c r="J1506" s="92">
        <f t="shared" si="141"/>
        <v>0</v>
      </c>
      <c r="K1506" s="92">
        <f t="shared" si="141"/>
        <v>1546300</v>
      </c>
      <c r="L1506" s="92">
        <f t="shared" si="139"/>
        <v>1546300</v>
      </c>
      <c r="M1506" s="92">
        <f>M1507+M1521</f>
        <v>1561300</v>
      </c>
      <c r="N1506" s="92">
        <f>N1507+N1521</f>
        <v>829684.58</v>
      </c>
      <c r="O1506" s="755">
        <f>N1506/M1506</f>
        <v>0.53140625120092233</v>
      </c>
      <c r="P1506" s="780" t="s">
        <v>395</v>
      </c>
      <c r="Q1506" s="664"/>
    </row>
    <row r="1507" spans="1:18" s="193" customFormat="1" ht="114" customHeight="1">
      <c r="A1507" s="429"/>
      <c r="B1507" s="465"/>
      <c r="C1507" s="449">
        <v>1</v>
      </c>
      <c r="D1507" s="445"/>
      <c r="E1507" s="446" t="s">
        <v>276</v>
      </c>
      <c r="F1507" s="447"/>
      <c r="G1507" s="419"/>
      <c r="H1507" s="419"/>
      <c r="I1507" s="419"/>
      <c r="J1507" s="419"/>
      <c r="K1507" s="386">
        <v>316300</v>
      </c>
      <c r="L1507" s="386">
        <f>L1508+L1512</f>
        <v>316300</v>
      </c>
      <c r="M1507" s="386">
        <f t="shared" ref="M1507:N1507" si="142">M1508+M1512</f>
        <v>316300</v>
      </c>
      <c r="N1507" s="386">
        <f t="shared" si="142"/>
        <v>152560.73000000001</v>
      </c>
      <c r="O1507" s="851">
        <f>N1507/M1507</f>
        <v>0.4823292127726842</v>
      </c>
      <c r="P1507" s="792" t="s">
        <v>395</v>
      </c>
      <c r="Q1507" s="665"/>
    </row>
    <row r="1508" spans="1:18" s="927" customFormat="1" ht="65.099999999999994" customHeight="1">
      <c r="A1508" s="1049"/>
      <c r="B1508" s="918"/>
      <c r="C1508" s="1050"/>
      <c r="D1508" s="920" t="s">
        <v>411</v>
      </c>
      <c r="E1508" s="921" t="s">
        <v>412</v>
      </c>
      <c r="F1508" s="1051">
        <f>192300+25150+38010</f>
        <v>255460</v>
      </c>
      <c r="G1508" s="1051" t="e">
        <f>#REF!</f>
        <v>#REF!</v>
      </c>
      <c r="H1508" s="1051" t="e">
        <f>#REF!</f>
        <v>#REF!</v>
      </c>
      <c r="I1508" s="1051" t="e">
        <f>#REF!</f>
        <v>#REF!</v>
      </c>
      <c r="J1508" s="1051" t="e">
        <f>#REF!</f>
        <v>#REF!</v>
      </c>
      <c r="K1508" s="1051" t="e">
        <f>#REF!</f>
        <v>#REF!</v>
      </c>
      <c r="L1508" s="1051">
        <f>SUM(L1509:L1511)</f>
        <v>302440</v>
      </c>
      <c r="M1508" s="1051">
        <f>SUM(M1509:M1511)</f>
        <v>302440</v>
      </c>
      <c r="N1508" s="1051">
        <f>SUM(N1509:N1511)</f>
        <v>146732.08000000002</v>
      </c>
      <c r="O1508" s="1052">
        <f t="shared" ref="O1508:O1520" si="143">N1508/M1508</f>
        <v>0.48516095754529831</v>
      </c>
      <c r="P1508" s="924" t="s">
        <v>395</v>
      </c>
      <c r="Q1508" s="925"/>
      <c r="R1508" s="926"/>
    </row>
    <row r="1509" spans="1:18" s="941" customFormat="1" ht="62.25" customHeight="1">
      <c r="A1509" s="1053"/>
      <c r="B1509" s="929"/>
      <c r="C1509" s="1054"/>
      <c r="D1509" s="931"/>
      <c r="E1509" s="932" t="s">
        <v>639</v>
      </c>
      <c r="F1509" s="1055"/>
      <c r="G1509" s="1055"/>
      <c r="H1509" s="1055"/>
      <c r="I1509" s="1055"/>
      <c r="J1509" s="1056"/>
      <c r="K1509" s="1056"/>
      <c r="L1509" s="1057">
        <v>239939</v>
      </c>
      <c r="M1509" s="1057">
        <v>239939</v>
      </c>
      <c r="N1509" s="1057">
        <v>105318.36</v>
      </c>
      <c r="O1509" s="1058">
        <f t="shared" si="143"/>
        <v>0.43893806342445374</v>
      </c>
      <c r="P1509" s="938" t="s">
        <v>395</v>
      </c>
      <c r="Q1509" s="939"/>
      <c r="R1509" s="940"/>
    </row>
    <row r="1510" spans="1:18" s="941" customFormat="1" ht="50.1" customHeight="1">
      <c r="A1510" s="1053"/>
      <c r="B1510" s="929"/>
      <c r="C1510" s="1054"/>
      <c r="D1510" s="931"/>
      <c r="E1510" s="932" t="s">
        <v>629</v>
      </c>
      <c r="F1510" s="1055"/>
      <c r="G1510" s="1055"/>
      <c r="H1510" s="1055"/>
      <c r="I1510" s="1055"/>
      <c r="J1510" s="1056"/>
      <c r="K1510" s="1056"/>
      <c r="L1510" s="1057">
        <v>18665</v>
      </c>
      <c r="M1510" s="1057">
        <v>18665</v>
      </c>
      <c r="N1510" s="1057">
        <v>18656.28</v>
      </c>
      <c r="O1510" s="1058">
        <f t="shared" si="143"/>
        <v>0.9995328154299491</v>
      </c>
      <c r="P1510" s="938" t="s">
        <v>395</v>
      </c>
      <c r="Q1510" s="939"/>
      <c r="R1510" s="940"/>
    </row>
    <row r="1511" spans="1:18" s="941" customFormat="1" ht="50.1" customHeight="1">
      <c r="A1511" s="1053"/>
      <c r="B1511" s="929"/>
      <c r="C1511" s="1054"/>
      <c r="D1511" s="931"/>
      <c r="E1511" s="932" t="s">
        <v>630</v>
      </c>
      <c r="F1511" s="1055"/>
      <c r="G1511" s="1055"/>
      <c r="H1511" s="1055"/>
      <c r="I1511" s="1055"/>
      <c r="J1511" s="1056"/>
      <c r="K1511" s="1056"/>
      <c r="L1511" s="1057">
        <f>41476+2360</f>
        <v>43836</v>
      </c>
      <c r="M1511" s="1057">
        <f>41476+2360</f>
        <v>43836</v>
      </c>
      <c r="N1511" s="1057">
        <f>21342.77+1414.67</f>
        <v>22757.440000000002</v>
      </c>
      <c r="O1511" s="1058">
        <f t="shared" si="143"/>
        <v>0.51914955744137248</v>
      </c>
      <c r="P1511" s="938" t="s">
        <v>395</v>
      </c>
      <c r="Q1511" s="939"/>
      <c r="R1511" s="940"/>
    </row>
    <row r="1512" spans="1:18" s="1070" customFormat="1" ht="50.1" customHeight="1">
      <c r="A1512" s="1059"/>
      <c r="B1512" s="1060"/>
      <c r="C1512" s="1061"/>
      <c r="D1512" s="1062" t="s">
        <v>417</v>
      </c>
      <c r="E1512" s="1063" t="s">
        <v>418</v>
      </c>
      <c r="F1512" s="1064">
        <f>1000+13540+2000+5000+1000+1000+7000+6000</f>
        <v>36540</v>
      </c>
      <c r="G1512" s="1064"/>
      <c r="H1512" s="1064"/>
      <c r="I1512" s="1064"/>
      <c r="J1512" s="1065"/>
      <c r="K1512" s="1065"/>
      <c r="L1512" s="1065">
        <f>SUM(L1513:L1520)</f>
        <v>13860</v>
      </c>
      <c r="M1512" s="1065">
        <f>SUM(M1513:M1520)</f>
        <v>13860</v>
      </c>
      <c r="N1512" s="1065">
        <f>SUM(N1513:N1520)</f>
        <v>5828.65</v>
      </c>
      <c r="O1512" s="1066">
        <f t="shared" si="143"/>
        <v>0.42053751803751799</v>
      </c>
      <c r="P1512" s="1067" t="s">
        <v>395</v>
      </c>
      <c r="Q1512" s="1068"/>
      <c r="R1512" s="1069"/>
    </row>
    <row r="1513" spans="1:18" s="1070" customFormat="1" ht="57.75" customHeight="1">
      <c r="A1513" s="1059"/>
      <c r="B1513" s="1060"/>
      <c r="C1513" s="1061"/>
      <c r="D1513" s="1062"/>
      <c r="E1513" s="1071" t="s">
        <v>631</v>
      </c>
      <c r="F1513" s="1072"/>
      <c r="G1513" s="1072"/>
      <c r="H1513" s="1072"/>
      <c r="I1513" s="1072"/>
      <c r="J1513" s="1073"/>
      <c r="K1513" s="1073"/>
      <c r="L1513" s="1074">
        <v>1400</v>
      </c>
      <c r="M1513" s="1074">
        <v>1400</v>
      </c>
      <c r="N1513" s="1074">
        <v>1260</v>
      </c>
      <c r="O1513" s="1075">
        <f t="shared" si="143"/>
        <v>0.9</v>
      </c>
      <c r="P1513" s="1067" t="s">
        <v>395</v>
      </c>
      <c r="Q1513" s="1068"/>
      <c r="R1513" s="1069"/>
    </row>
    <row r="1514" spans="1:18" s="1087" customFormat="1" ht="67.5" customHeight="1">
      <c r="A1514" s="1076"/>
      <c r="B1514" s="1077"/>
      <c r="C1514" s="1078"/>
      <c r="D1514" s="1079"/>
      <c r="E1514" s="1071" t="s">
        <v>632</v>
      </c>
      <c r="F1514" s="1080"/>
      <c r="G1514" s="1080"/>
      <c r="H1514" s="1080"/>
      <c r="I1514" s="1080"/>
      <c r="J1514" s="1081"/>
      <c r="K1514" s="1081"/>
      <c r="L1514" s="1082">
        <v>4500</v>
      </c>
      <c r="M1514" s="1082">
        <v>4500</v>
      </c>
      <c r="N1514" s="1074">
        <v>881.71</v>
      </c>
      <c r="O1514" s="1083">
        <f t="shared" si="143"/>
        <v>0.19593555555555556</v>
      </c>
      <c r="P1514" s="1084" t="s">
        <v>395</v>
      </c>
      <c r="Q1514" s="1085"/>
      <c r="R1514" s="1086"/>
    </row>
    <row r="1515" spans="1:18" s="1087" customFormat="1" ht="36" customHeight="1">
      <c r="A1515" s="1076"/>
      <c r="B1515" s="1077"/>
      <c r="C1515" s="1078"/>
      <c r="D1515" s="1079"/>
      <c r="E1515" s="1071" t="s">
        <v>633</v>
      </c>
      <c r="F1515" s="1080"/>
      <c r="G1515" s="1080"/>
      <c r="H1515" s="1080"/>
      <c r="I1515" s="1080"/>
      <c r="J1515" s="1081"/>
      <c r="K1515" s="1081"/>
      <c r="L1515" s="1082">
        <v>1000</v>
      </c>
      <c r="M1515" s="1082">
        <v>1000</v>
      </c>
      <c r="N1515" s="1074">
        <v>0</v>
      </c>
      <c r="O1515" s="1083">
        <f t="shared" si="143"/>
        <v>0</v>
      </c>
      <c r="P1515" s="1084" t="s">
        <v>395</v>
      </c>
      <c r="Q1515" s="1085"/>
      <c r="R1515" s="1086"/>
    </row>
    <row r="1516" spans="1:18" s="1087" customFormat="1" ht="36" customHeight="1">
      <c r="A1516" s="1076"/>
      <c r="B1516" s="1077"/>
      <c r="C1516" s="1078"/>
      <c r="D1516" s="1079"/>
      <c r="E1516" s="1071" t="s">
        <v>634</v>
      </c>
      <c r="F1516" s="1080"/>
      <c r="G1516" s="1080"/>
      <c r="H1516" s="1080"/>
      <c r="I1516" s="1080"/>
      <c r="J1516" s="1081"/>
      <c r="K1516" s="1081"/>
      <c r="L1516" s="1082">
        <v>1000</v>
      </c>
      <c r="M1516" s="1082">
        <v>1000</v>
      </c>
      <c r="N1516" s="1074">
        <v>868.12</v>
      </c>
      <c r="O1516" s="1083">
        <v>0</v>
      </c>
      <c r="P1516" s="1084" t="s">
        <v>395</v>
      </c>
      <c r="Q1516" s="1085"/>
      <c r="R1516" s="1086"/>
    </row>
    <row r="1517" spans="1:18" s="1087" customFormat="1" ht="36" customHeight="1">
      <c r="A1517" s="1076"/>
      <c r="B1517" s="1077"/>
      <c r="C1517" s="1078"/>
      <c r="D1517" s="1079"/>
      <c r="E1517" s="1071" t="s">
        <v>635</v>
      </c>
      <c r="F1517" s="1080"/>
      <c r="G1517" s="1080"/>
      <c r="H1517" s="1080"/>
      <c r="I1517" s="1080"/>
      <c r="J1517" s="1081"/>
      <c r="K1517" s="1081"/>
      <c r="L1517" s="1082">
        <v>500</v>
      </c>
      <c r="M1517" s="1082">
        <v>500</v>
      </c>
      <c r="N1517" s="1074">
        <v>0</v>
      </c>
      <c r="O1517" s="1083">
        <f t="shared" si="143"/>
        <v>0</v>
      </c>
      <c r="P1517" s="1084" t="s">
        <v>395</v>
      </c>
      <c r="Q1517" s="1085"/>
      <c r="R1517" s="1086"/>
    </row>
    <row r="1518" spans="1:18" s="1087" customFormat="1" ht="36" customHeight="1">
      <c r="A1518" s="1076"/>
      <c r="B1518" s="1077"/>
      <c r="C1518" s="1078"/>
      <c r="D1518" s="1079"/>
      <c r="E1518" s="1071" t="s">
        <v>636</v>
      </c>
      <c r="F1518" s="1080"/>
      <c r="G1518" s="1080"/>
      <c r="H1518" s="1080"/>
      <c r="I1518" s="1080"/>
      <c r="J1518" s="1081"/>
      <c r="K1518" s="1081"/>
      <c r="L1518" s="1082">
        <v>500</v>
      </c>
      <c r="M1518" s="1082">
        <v>500</v>
      </c>
      <c r="N1518" s="1074">
        <v>0</v>
      </c>
      <c r="O1518" s="1083">
        <f t="shared" si="143"/>
        <v>0</v>
      </c>
      <c r="P1518" s="1084" t="s">
        <v>395</v>
      </c>
      <c r="Q1518" s="1085"/>
      <c r="R1518" s="1086"/>
    </row>
    <row r="1519" spans="1:18" s="1087" customFormat="1" ht="36" customHeight="1">
      <c r="A1519" s="1076"/>
      <c r="B1519" s="1077"/>
      <c r="C1519" s="1078"/>
      <c r="D1519" s="1079"/>
      <c r="E1519" s="1071" t="s">
        <v>637</v>
      </c>
      <c r="F1519" s="1080"/>
      <c r="G1519" s="1080"/>
      <c r="H1519" s="1080"/>
      <c r="I1519" s="1080"/>
      <c r="J1519" s="1081"/>
      <c r="K1519" s="1081"/>
      <c r="L1519" s="1082">
        <v>1960</v>
      </c>
      <c r="M1519" s="1082">
        <v>1960</v>
      </c>
      <c r="N1519" s="1074">
        <v>1500</v>
      </c>
      <c r="O1519" s="1083">
        <f t="shared" si="143"/>
        <v>0.76530612244897955</v>
      </c>
      <c r="P1519" s="1084" t="s">
        <v>395</v>
      </c>
      <c r="Q1519" s="1085"/>
      <c r="R1519" s="1086"/>
    </row>
    <row r="1520" spans="1:18" s="1087" customFormat="1" ht="36" customHeight="1">
      <c r="A1520" s="1076"/>
      <c r="B1520" s="1077"/>
      <c r="C1520" s="1078"/>
      <c r="D1520" s="1079"/>
      <c r="E1520" s="1071" t="s">
        <v>638</v>
      </c>
      <c r="F1520" s="1080"/>
      <c r="G1520" s="1080"/>
      <c r="H1520" s="1080"/>
      <c r="I1520" s="1080"/>
      <c r="J1520" s="1081"/>
      <c r="K1520" s="1081"/>
      <c r="L1520" s="1082">
        <v>3000</v>
      </c>
      <c r="M1520" s="1082">
        <v>3000</v>
      </c>
      <c r="N1520" s="1074">
        <v>1318.82</v>
      </c>
      <c r="O1520" s="1083">
        <f t="shared" si="143"/>
        <v>0.43960666666666665</v>
      </c>
      <c r="P1520" s="1084" t="s">
        <v>395</v>
      </c>
      <c r="Q1520" s="1085"/>
      <c r="R1520" s="1086"/>
    </row>
    <row r="1521" spans="1:18" s="165" customFormat="1" ht="73.5" customHeight="1">
      <c r="A1521" s="429"/>
      <c r="B1521" s="485"/>
      <c r="C1521" s="468">
        <v>2</v>
      </c>
      <c r="D1521" s="463"/>
      <c r="E1521" s="464" t="s">
        <v>275</v>
      </c>
      <c r="F1521" s="451"/>
      <c r="G1521" s="469"/>
      <c r="H1521" s="451"/>
      <c r="I1521" s="469"/>
      <c r="J1521" s="451"/>
      <c r="K1521" s="470">
        <v>1230000</v>
      </c>
      <c r="L1521" s="452">
        <f>L1522+L1527</f>
        <v>1230000</v>
      </c>
      <c r="M1521" s="452">
        <f t="shared" ref="M1521:N1521" si="144">M1522+M1527</f>
        <v>1245000</v>
      </c>
      <c r="N1521" s="452">
        <f t="shared" si="144"/>
        <v>677123.85</v>
      </c>
      <c r="O1521" s="873">
        <f>N1521/M1521</f>
        <v>0.54387457831325303</v>
      </c>
      <c r="P1521" s="780" t="s">
        <v>395</v>
      </c>
      <c r="Q1521" s="664"/>
    </row>
    <row r="1522" spans="1:18" s="927" customFormat="1" ht="50.1" customHeight="1">
      <c r="A1522" s="1049"/>
      <c r="B1522" s="918"/>
      <c r="C1522" s="1050"/>
      <c r="D1522" s="920" t="s">
        <v>411</v>
      </c>
      <c r="E1522" s="921" t="s">
        <v>412</v>
      </c>
      <c r="F1522" s="1051">
        <f>192300+25150+38010</f>
        <v>255460</v>
      </c>
      <c r="G1522" s="1051" t="e">
        <f>#REF!</f>
        <v>#REF!</v>
      </c>
      <c r="H1522" s="1051" t="e">
        <f>#REF!</f>
        <v>#REF!</v>
      </c>
      <c r="I1522" s="1051" t="e">
        <f>#REF!</f>
        <v>#REF!</v>
      </c>
      <c r="J1522" s="1051" t="e">
        <f>#REF!</f>
        <v>#REF!</v>
      </c>
      <c r="K1522" s="1051" t="e">
        <f>#REF!</f>
        <v>#REF!</v>
      </c>
      <c r="L1522" s="1051">
        <f>L1523+L1524+L1525+L1526</f>
        <v>1055000</v>
      </c>
      <c r="M1522" s="1051">
        <f>M1523+M1524+M1525+M1526</f>
        <v>1040000</v>
      </c>
      <c r="N1522" s="1051">
        <f>N1523+N1524+N1525+N1526</f>
        <v>554172.99</v>
      </c>
      <c r="O1522" s="1088">
        <f t="shared" ref="O1522:O1538" si="145">N1522/M1522</f>
        <v>0.53285864423076923</v>
      </c>
      <c r="P1522" s="924" t="s">
        <v>395</v>
      </c>
      <c r="Q1522" s="925"/>
      <c r="R1522" s="926"/>
    </row>
    <row r="1523" spans="1:18" s="941" customFormat="1" ht="65.400000000000006" customHeight="1">
      <c r="A1523" s="1053"/>
      <c r="B1523" s="929"/>
      <c r="C1523" s="1054"/>
      <c r="D1523" s="931"/>
      <c r="E1523" s="932" t="s">
        <v>648</v>
      </c>
      <c r="F1523" s="1055"/>
      <c r="G1523" s="1055"/>
      <c r="H1523" s="1055"/>
      <c r="I1523" s="1055"/>
      <c r="J1523" s="1056"/>
      <c r="K1523" s="1056"/>
      <c r="L1523" s="1089">
        <v>823307</v>
      </c>
      <c r="M1523" s="1089">
        <v>808307</v>
      </c>
      <c r="N1523" s="1089">
        <v>406060.03</v>
      </c>
      <c r="O1523" s="1090">
        <f t="shared" si="145"/>
        <v>0.50235867065360074</v>
      </c>
      <c r="P1523" s="938" t="s">
        <v>640</v>
      </c>
      <c r="Q1523" s="939"/>
      <c r="R1523" s="940"/>
    </row>
    <row r="1524" spans="1:18" s="941" customFormat="1" ht="36" customHeight="1">
      <c r="A1524" s="1053"/>
      <c r="B1524" s="929"/>
      <c r="C1524" s="1054"/>
      <c r="D1524" s="931"/>
      <c r="E1524" s="932" t="s">
        <v>629</v>
      </c>
      <c r="F1524" s="1055"/>
      <c r="G1524" s="1055"/>
      <c r="H1524" s="1055"/>
      <c r="I1524" s="1055"/>
      <c r="J1524" s="1056"/>
      <c r="K1524" s="1056"/>
      <c r="L1524" s="1089">
        <v>60625</v>
      </c>
      <c r="M1524" s="1089">
        <v>60625</v>
      </c>
      <c r="N1524" s="1089">
        <v>60616.77</v>
      </c>
      <c r="O1524" s="1090">
        <f t="shared" si="145"/>
        <v>0.99986424742268032</v>
      </c>
      <c r="P1524" s="938" t="s">
        <v>395</v>
      </c>
      <c r="Q1524" s="939"/>
      <c r="R1524" s="940"/>
    </row>
    <row r="1525" spans="1:18" s="941" customFormat="1" ht="36" customHeight="1">
      <c r="A1525" s="1053"/>
      <c r="B1525" s="929"/>
      <c r="C1525" s="1054"/>
      <c r="D1525" s="931"/>
      <c r="E1525" s="932" t="s">
        <v>641</v>
      </c>
      <c r="F1525" s="1055"/>
      <c r="G1525" s="1055"/>
      <c r="H1525" s="1055"/>
      <c r="I1525" s="1055"/>
      <c r="J1525" s="1056"/>
      <c r="K1525" s="1056"/>
      <c r="L1525" s="1089">
        <v>15000</v>
      </c>
      <c r="M1525" s="1089">
        <v>18000</v>
      </c>
      <c r="N1525" s="1091">
        <v>4973.1000000000004</v>
      </c>
      <c r="O1525" s="1090">
        <f t="shared" si="145"/>
        <v>0.27628333333333338</v>
      </c>
      <c r="P1525" s="938" t="s">
        <v>395</v>
      </c>
      <c r="Q1525" s="939"/>
      <c r="R1525" s="940"/>
    </row>
    <row r="1526" spans="1:18" s="941" customFormat="1" ht="36" customHeight="1">
      <c r="A1526" s="1053"/>
      <c r="B1526" s="929"/>
      <c r="C1526" s="1054"/>
      <c r="D1526" s="931"/>
      <c r="E1526" s="932" t="s">
        <v>642</v>
      </c>
      <c r="F1526" s="1055"/>
      <c r="G1526" s="1055"/>
      <c r="H1526" s="1055"/>
      <c r="I1526" s="1055"/>
      <c r="J1526" s="1056"/>
      <c r="K1526" s="1056"/>
      <c r="L1526" s="1089">
        <v>156068</v>
      </c>
      <c r="M1526" s="1089">
        <v>153068</v>
      </c>
      <c r="N1526" s="1089">
        <v>82523.09</v>
      </c>
      <c r="O1526" s="1090">
        <f t="shared" si="145"/>
        <v>0.53912698931193981</v>
      </c>
      <c r="P1526" s="938" t="s">
        <v>395</v>
      </c>
      <c r="Q1526" s="939"/>
      <c r="R1526" s="940"/>
    </row>
    <row r="1527" spans="1:18" s="1070" customFormat="1" ht="50.1" customHeight="1">
      <c r="A1527" s="1059"/>
      <c r="B1527" s="1060"/>
      <c r="C1527" s="1061"/>
      <c r="D1527" s="1062" t="s">
        <v>417</v>
      </c>
      <c r="E1527" s="1063" t="s">
        <v>418</v>
      </c>
      <c r="F1527" s="1064">
        <f>1000+13540+2000+5000+1000+1000+7000+6000</f>
        <v>36540</v>
      </c>
      <c r="G1527" s="1064"/>
      <c r="H1527" s="1064"/>
      <c r="I1527" s="1064"/>
      <c r="J1527" s="1065"/>
      <c r="K1527" s="1065"/>
      <c r="L1527" s="1065">
        <f>SUM(L1528:L1538)</f>
        <v>175000</v>
      </c>
      <c r="M1527" s="1065">
        <f>SUM(M1528:M1538)</f>
        <v>205000</v>
      </c>
      <c r="N1527" s="1065">
        <f>SUM(N1528:N1538)</f>
        <v>122950.86000000002</v>
      </c>
      <c r="O1527" s="1066">
        <f t="shared" si="145"/>
        <v>0.59976029268292685</v>
      </c>
      <c r="P1527" s="1067" t="s">
        <v>395</v>
      </c>
      <c r="Q1527" s="1068"/>
      <c r="R1527" s="1069"/>
    </row>
    <row r="1528" spans="1:18" s="1070" customFormat="1" ht="64.5" customHeight="1">
      <c r="A1528" s="1059"/>
      <c r="B1528" s="1060"/>
      <c r="C1528" s="1061"/>
      <c r="D1528" s="1062"/>
      <c r="E1528" s="1071" t="s">
        <v>631</v>
      </c>
      <c r="F1528" s="1072"/>
      <c r="G1528" s="1072"/>
      <c r="H1528" s="1072"/>
      <c r="I1528" s="1072"/>
      <c r="J1528" s="1073"/>
      <c r="K1528" s="1073"/>
      <c r="L1528" s="1074">
        <v>5000</v>
      </c>
      <c r="M1528" s="1074">
        <v>5000</v>
      </c>
      <c r="N1528" s="1074">
        <v>2863.6</v>
      </c>
      <c r="O1528" s="1075">
        <f t="shared" si="145"/>
        <v>0.57272000000000001</v>
      </c>
      <c r="P1528" s="1067" t="s">
        <v>395</v>
      </c>
      <c r="Q1528" s="1068"/>
      <c r="R1528" s="1069"/>
    </row>
    <row r="1529" spans="1:18" s="1087" customFormat="1" ht="64.5" customHeight="1">
      <c r="A1529" s="1076"/>
      <c r="B1529" s="1077"/>
      <c r="C1529" s="1078"/>
      <c r="D1529" s="1079"/>
      <c r="E1529" s="1071" t="s">
        <v>643</v>
      </c>
      <c r="F1529" s="1080"/>
      <c r="G1529" s="1080"/>
      <c r="H1529" s="1080"/>
      <c r="I1529" s="1080"/>
      <c r="J1529" s="1081"/>
      <c r="K1529" s="1081"/>
      <c r="L1529" s="1082">
        <v>20000</v>
      </c>
      <c r="M1529" s="1082">
        <v>15000</v>
      </c>
      <c r="N1529" s="1074">
        <v>5641.84</v>
      </c>
      <c r="O1529" s="1083">
        <f t="shared" si="145"/>
        <v>0.37612266666666666</v>
      </c>
      <c r="P1529" s="1084" t="s">
        <v>395</v>
      </c>
      <c r="Q1529" s="1085"/>
      <c r="R1529" s="1086"/>
    </row>
    <row r="1530" spans="1:18" s="1087" customFormat="1" ht="64.5" customHeight="1">
      <c r="A1530" s="1076"/>
      <c r="B1530" s="1077"/>
      <c r="C1530" s="1078"/>
      <c r="D1530" s="1079"/>
      <c r="E1530" s="1071" t="s">
        <v>633</v>
      </c>
      <c r="F1530" s="1080"/>
      <c r="G1530" s="1080"/>
      <c r="H1530" s="1080"/>
      <c r="I1530" s="1080"/>
      <c r="J1530" s="1081"/>
      <c r="K1530" s="1081"/>
      <c r="L1530" s="1082">
        <v>1000</v>
      </c>
      <c r="M1530" s="1082">
        <v>1000</v>
      </c>
      <c r="N1530" s="1074">
        <v>307.5</v>
      </c>
      <c r="O1530" s="1083">
        <f t="shared" si="145"/>
        <v>0.3075</v>
      </c>
      <c r="P1530" s="1084" t="s">
        <v>395</v>
      </c>
      <c r="Q1530" s="1085"/>
      <c r="R1530" s="1086"/>
    </row>
    <row r="1531" spans="1:18" s="1087" customFormat="1" ht="50.1" customHeight="1">
      <c r="A1531" s="1076"/>
      <c r="B1531" s="1077"/>
      <c r="C1531" s="1078"/>
      <c r="D1531" s="1079"/>
      <c r="E1531" s="1071" t="s">
        <v>634</v>
      </c>
      <c r="F1531" s="1080"/>
      <c r="G1531" s="1080"/>
      <c r="H1531" s="1080"/>
      <c r="I1531" s="1080"/>
      <c r="J1531" s="1081"/>
      <c r="K1531" s="1081"/>
      <c r="L1531" s="1082">
        <v>9500</v>
      </c>
      <c r="M1531" s="1082">
        <v>9500</v>
      </c>
      <c r="N1531" s="1074">
        <v>5484.5</v>
      </c>
      <c r="O1531" s="1083">
        <f t="shared" si="145"/>
        <v>0.57731578947368423</v>
      </c>
      <c r="P1531" s="1084" t="s">
        <v>395</v>
      </c>
      <c r="Q1531" s="1085"/>
      <c r="R1531" s="1086"/>
    </row>
    <row r="1532" spans="1:18" s="1087" customFormat="1" ht="50.1" customHeight="1">
      <c r="A1532" s="1076"/>
      <c r="B1532" s="1077"/>
      <c r="C1532" s="1078"/>
      <c r="D1532" s="1079"/>
      <c r="E1532" s="1071" t="s">
        <v>635</v>
      </c>
      <c r="F1532" s="1080"/>
      <c r="G1532" s="1080"/>
      <c r="H1532" s="1080"/>
      <c r="I1532" s="1080"/>
      <c r="J1532" s="1081"/>
      <c r="K1532" s="1081"/>
      <c r="L1532" s="1082">
        <v>2800</v>
      </c>
      <c r="M1532" s="1082">
        <v>2800</v>
      </c>
      <c r="N1532" s="1074">
        <v>1666.21</v>
      </c>
      <c r="O1532" s="1083">
        <f t="shared" si="145"/>
        <v>0.59507500000000002</v>
      </c>
      <c r="P1532" s="1084" t="s">
        <v>395</v>
      </c>
      <c r="Q1532" s="1085"/>
      <c r="R1532" s="1086"/>
    </row>
    <row r="1533" spans="1:18" s="1087" customFormat="1" ht="50.1" customHeight="1">
      <c r="A1533" s="1076"/>
      <c r="B1533" s="1077"/>
      <c r="C1533" s="1078"/>
      <c r="D1533" s="1079"/>
      <c r="E1533" s="1071" t="s">
        <v>636</v>
      </c>
      <c r="F1533" s="1080"/>
      <c r="G1533" s="1080"/>
      <c r="H1533" s="1080"/>
      <c r="I1533" s="1080"/>
      <c r="J1533" s="1081"/>
      <c r="K1533" s="1081"/>
      <c r="L1533" s="1082">
        <v>2400</v>
      </c>
      <c r="M1533" s="1082">
        <v>2400</v>
      </c>
      <c r="N1533" s="1074">
        <v>856.75</v>
      </c>
      <c r="O1533" s="1083">
        <f t="shared" si="145"/>
        <v>0.35697916666666668</v>
      </c>
      <c r="P1533" s="1084" t="s">
        <v>395</v>
      </c>
      <c r="Q1533" s="1085"/>
      <c r="R1533" s="1086"/>
    </row>
    <row r="1534" spans="1:18" s="1087" customFormat="1" ht="50.1" customHeight="1">
      <c r="A1534" s="1076"/>
      <c r="B1534" s="1077"/>
      <c r="C1534" s="1078"/>
      <c r="D1534" s="1079"/>
      <c r="E1534" s="1071" t="s">
        <v>637</v>
      </c>
      <c r="F1534" s="1080"/>
      <c r="G1534" s="1080"/>
      <c r="H1534" s="1080"/>
      <c r="I1534" s="1080"/>
      <c r="J1534" s="1081"/>
      <c r="K1534" s="1081"/>
      <c r="L1534" s="1082">
        <v>30000</v>
      </c>
      <c r="M1534" s="1082">
        <v>30000</v>
      </c>
      <c r="N1534" s="1074">
        <v>22470</v>
      </c>
      <c r="O1534" s="1083">
        <f t="shared" si="145"/>
        <v>0.749</v>
      </c>
      <c r="P1534" s="1084" t="s">
        <v>395</v>
      </c>
      <c r="Q1534" s="1085"/>
      <c r="R1534" s="1086"/>
    </row>
    <row r="1535" spans="1:18" s="1087" customFormat="1" ht="50.1" customHeight="1">
      <c r="A1535" s="1076"/>
      <c r="B1535" s="1077"/>
      <c r="C1535" s="1078"/>
      <c r="D1535" s="1079"/>
      <c r="E1535" s="1071" t="s">
        <v>644</v>
      </c>
      <c r="F1535" s="1080"/>
      <c r="G1535" s="1080"/>
      <c r="H1535" s="1080"/>
      <c r="I1535" s="1080"/>
      <c r="J1535" s="1081"/>
      <c r="K1535" s="1081"/>
      <c r="L1535" s="1082">
        <v>0</v>
      </c>
      <c r="M1535" s="1082">
        <v>0</v>
      </c>
      <c r="N1535" s="1074">
        <v>0</v>
      </c>
      <c r="O1535" s="1083">
        <v>0</v>
      </c>
      <c r="P1535" s="1084" t="s">
        <v>395</v>
      </c>
      <c r="Q1535" s="1085"/>
      <c r="R1535" s="1086"/>
    </row>
    <row r="1536" spans="1:18" s="1087" customFormat="1" ht="50.1" customHeight="1">
      <c r="A1536" s="1076"/>
      <c r="B1536" s="1077"/>
      <c r="C1536" s="1078"/>
      <c r="D1536" s="1079"/>
      <c r="E1536" s="1071" t="s">
        <v>645</v>
      </c>
      <c r="F1536" s="1080"/>
      <c r="G1536" s="1080"/>
      <c r="H1536" s="1080"/>
      <c r="I1536" s="1080"/>
      <c r="J1536" s="1081"/>
      <c r="K1536" s="1081"/>
      <c r="L1536" s="1082">
        <v>34000</v>
      </c>
      <c r="M1536" s="1082">
        <v>54000</v>
      </c>
      <c r="N1536" s="1074">
        <v>28759.31</v>
      </c>
      <c r="O1536" s="1083">
        <f t="shared" si="145"/>
        <v>0.53257981481481487</v>
      </c>
      <c r="P1536" s="1084" t="s">
        <v>395</v>
      </c>
      <c r="Q1536" s="1085"/>
      <c r="R1536" s="1086"/>
    </row>
    <row r="1537" spans="1:18" s="1087" customFormat="1" ht="50.1" customHeight="1">
      <c r="A1537" s="1076"/>
      <c r="B1537" s="1077"/>
      <c r="C1537" s="1078"/>
      <c r="D1537" s="1079"/>
      <c r="E1537" s="1071" t="s">
        <v>646</v>
      </c>
      <c r="F1537" s="1080"/>
      <c r="G1537" s="1080"/>
      <c r="H1537" s="1080"/>
      <c r="I1537" s="1080"/>
      <c r="J1537" s="1081"/>
      <c r="K1537" s="1081"/>
      <c r="L1537" s="1082">
        <v>30000</v>
      </c>
      <c r="M1537" s="1082">
        <v>30000</v>
      </c>
      <c r="N1537" s="1074">
        <v>22157</v>
      </c>
      <c r="O1537" s="1083">
        <f t="shared" si="145"/>
        <v>0.7385666666666667</v>
      </c>
      <c r="P1537" s="1084" t="s">
        <v>395</v>
      </c>
      <c r="Q1537" s="1085"/>
      <c r="R1537" s="1086"/>
    </row>
    <row r="1538" spans="1:18" s="1087" customFormat="1" ht="50.1" customHeight="1">
      <c r="A1538" s="1076"/>
      <c r="B1538" s="1077"/>
      <c r="C1538" s="1078"/>
      <c r="D1538" s="1079"/>
      <c r="E1538" s="1071" t="s">
        <v>647</v>
      </c>
      <c r="F1538" s="1080"/>
      <c r="G1538" s="1080"/>
      <c r="H1538" s="1080"/>
      <c r="I1538" s="1080"/>
      <c r="J1538" s="1081"/>
      <c r="K1538" s="1081"/>
      <c r="L1538" s="1082">
        <v>40300</v>
      </c>
      <c r="M1538" s="1082">
        <v>55300</v>
      </c>
      <c r="N1538" s="1074">
        <v>32744.15</v>
      </c>
      <c r="O1538" s="1083">
        <f t="shared" si="145"/>
        <v>0.59211844484629295</v>
      </c>
      <c r="P1538" s="1084" t="s">
        <v>395</v>
      </c>
      <c r="Q1538" s="1085"/>
      <c r="R1538" s="1086"/>
    </row>
    <row r="1539" spans="1:18" s="431" customFormat="1" ht="58.5" customHeight="1">
      <c r="A1539" s="487"/>
      <c r="B1539" s="75">
        <v>85230</v>
      </c>
      <c r="C1539" s="74"/>
      <c r="D1539" s="176"/>
      <c r="E1539" s="175" t="s">
        <v>262</v>
      </c>
      <c r="F1539" s="92">
        <f>F1541+F1546</f>
        <v>0</v>
      </c>
      <c r="G1539" s="92">
        <f>G1541+G1546</f>
        <v>0</v>
      </c>
      <c r="H1539" s="92">
        <f>H1541+H1546</f>
        <v>0</v>
      </c>
      <c r="I1539" s="92">
        <f>I1541+I1546</f>
        <v>0</v>
      </c>
      <c r="J1539" s="92">
        <f>J1541+J1546</f>
        <v>0</v>
      </c>
      <c r="K1539" s="92">
        <f>SUM(K1540:K1541)</f>
        <v>268000</v>
      </c>
      <c r="L1539" s="92">
        <f t="shared" ref="L1539:L1544" si="146">SUM(F1539:K1539)</f>
        <v>268000</v>
      </c>
      <c r="M1539" s="92">
        <f>M1540+M1541</f>
        <v>268000</v>
      </c>
      <c r="N1539" s="92">
        <f>N1540+N1541</f>
        <v>99248</v>
      </c>
      <c r="O1539" s="755">
        <f t="shared" ref="O1539:O1544" si="147">N1539/M1539</f>
        <v>0.37032835820895521</v>
      </c>
      <c r="P1539" s="780" t="s">
        <v>395</v>
      </c>
      <c r="Q1539" s="664"/>
    </row>
    <row r="1540" spans="1:18" s="193" customFormat="1" ht="116.25" customHeight="1">
      <c r="A1540" s="487"/>
      <c r="B1540" s="423"/>
      <c r="C1540" s="571">
        <v>1</v>
      </c>
      <c r="D1540" s="572"/>
      <c r="E1540" s="569" t="s">
        <v>274</v>
      </c>
      <c r="F1540" s="565"/>
      <c r="G1540" s="565"/>
      <c r="H1540" s="565"/>
      <c r="I1540" s="565"/>
      <c r="J1540" s="565"/>
      <c r="K1540" s="711">
        <v>193000</v>
      </c>
      <c r="L1540" s="710">
        <f t="shared" si="146"/>
        <v>193000</v>
      </c>
      <c r="M1540" s="710">
        <v>193000</v>
      </c>
      <c r="N1540" s="710">
        <v>63450</v>
      </c>
      <c r="O1540" s="879">
        <f t="shared" si="147"/>
        <v>0.32875647668393781</v>
      </c>
      <c r="P1540" s="792" t="s">
        <v>395</v>
      </c>
      <c r="Q1540" s="665"/>
    </row>
    <row r="1541" spans="1:18" s="431" customFormat="1" ht="68.25" customHeight="1">
      <c r="A1541" s="429"/>
      <c r="B1541" s="485"/>
      <c r="C1541" s="468">
        <v>2</v>
      </c>
      <c r="D1541" s="463"/>
      <c r="E1541" s="464" t="s">
        <v>273</v>
      </c>
      <c r="F1541" s="451"/>
      <c r="G1541" s="469"/>
      <c r="H1541" s="451"/>
      <c r="I1541" s="469"/>
      <c r="J1541" s="451"/>
      <c r="K1541" s="470">
        <v>75000</v>
      </c>
      <c r="L1541" s="452">
        <f t="shared" si="146"/>
        <v>75000</v>
      </c>
      <c r="M1541" s="452">
        <v>75000</v>
      </c>
      <c r="N1541" s="452">
        <v>35798</v>
      </c>
      <c r="O1541" s="873">
        <f t="shared" si="147"/>
        <v>0.47730666666666666</v>
      </c>
      <c r="P1541" s="780" t="s">
        <v>395</v>
      </c>
      <c r="Q1541" s="664"/>
    </row>
    <row r="1542" spans="1:18" s="165" customFormat="1" ht="64.5" customHeight="1">
      <c r="A1542" s="487"/>
      <c r="B1542" s="75">
        <v>85295</v>
      </c>
      <c r="C1542" s="74"/>
      <c r="D1542" s="176"/>
      <c r="E1542" s="175" t="s">
        <v>5</v>
      </c>
      <c r="F1542" s="409">
        <f t="shared" ref="F1542:K1542" si="148">SUM(F1543:F1544)</f>
        <v>0</v>
      </c>
      <c r="G1542" s="409">
        <f t="shared" si="148"/>
        <v>0</v>
      </c>
      <c r="H1542" s="409">
        <f t="shared" si="148"/>
        <v>0</v>
      </c>
      <c r="I1542" s="409">
        <f t="shared" si="148"/>
        <v>0</v>
      </c>
      <c r="J1542" s="409">
        <f t="shared" si="148"/>
        <v>0</v>
      </c>
      <c r="K1542" s="409">
        <f t="shared" si="148"/>
        <v>27000</v>
      </c>
      <c r="L1542" s="92">
        <f>L1543+L1544+L1545</f>
        <v>27000</v>
      </c>
      <c r="M1542" s="92">
        <f t="shared" ref="M1542:N1542" si="149">M1543+M1544+M1545</f>
        <v>29000</v>
      </c>
      <c r="N1542" s="92">
        <f t="shared" si="149"/>
        <v>7074.3</v>
      </c>
      <c r="O1542" s="755">
        <f t="shared" si="147"/>
        <v>0.24394137931034485</v>
      </c>
      <c r="P1542" s="780" t="s">
        <v>395</v>
      </c>
      <c r="Q1542" s="664"/>
    </row>
    <row r="1543" spans="1:18" s="193" customFormat="1" ht="64.5" customHeight="1">
      <c r="A1543" s="487"/>
      <c r="B1543" s="199"/>
      <c r="C1543" s="210">
        <v>1</v>
      </c>
      <c r="D1543" s="209"/>
      <c r="E1543" s="208" t="s">
        <v>208</v>
      </c>
      <c r="F1543" s="415"/>
      <c r="G1543" s="414"/>
      <c r="H1543" s="414"/>
      <c r="I1543" s="414"/>
      <c r="J1543" s="414"/>
      <c r="K1543" s="414">
        <v>21000</v>
      </c>
      <c r="L1543" s="536">
        <f t="shared" si="146"/>
        <v>21000</v>
      </c>
      <c r="M1543" s="536">
        <v>21000</v>
      </c>
      <c r="N1543" s="536">
        <v>4074.3</v>
      </c>
      <c r="O1543" s="889">
        <f t="shared" si="147"/>
        <v>0.19401428571428572</v>
      </c>
      <c r="P1543" s="781" t="s">
        <v>395</v>
      </c>
      <c r="Q1543" s="665"/>
    </row>
    <row r="1544" spans="1:18" s="193" customFormat="1" ht="64.5" customHeight="1">
      <c r="A1544" s="487"/>
      <c r="B1544" s="199"/>
      <c r="C1544" s="198">
        <v>2</v>
      </c>
      <c r="D1544" s="207"/>
      <c r="E1544" s="206" t="s">
        <v>25</v>
      </c>
      <c r="F1544" s="205"/>
      <c r="G1544" s="205"/>
      <c r="H1544" s="205"/>
      <c r="I1544" s="205"/>
      <c r="J1544" s="205"/>
      <c r="K1544" s="205">
        <v>6000</v>
      </c>
      <c r="L1544" s="451">
        <f t="shared" si="146"/>
        <v>6000</v>
      </c>
      <c r="M1544" s="451">
        <v>6000</v>
      </c>
      <c r="N1544" s="451">
        <v>3000</v>
      </c>
      <c r="O1544" s="837">
        <f t="shared" si="147"/>
        <v>0.5</v>
      </c>
      <c r="P1544" s="781" t="s">
        <v>395</v>
      </c>
      <c r="Q1544" s="665"/>
    </row>
    <row r="1545" spans="1:18" s="431" customFormat="1" ht="83.25" customHeight="1">
      <c r="A1545" s="987"/>
      <c r="B1545" s="1093"/>
      <c r="C1545" s="1094">
        <v>3</v>
      </c>
      <c r="D1545" s="572"/>
      <c r="E1545" s="569" t="s">
        <v>649</v>
      </c>
      <c r="F1545" s="564"/>
      <c r="G1545" s="1095"/>
      <c r="H1545" s="564"/>
      <c r="I1545" s="1095"/>
      <c r="J1545" s="564"/>
      <c r="K1545" s="1096">
        <v>75000</v>
      </c>
      <c r="L1545" s="564">
        <v>0</v>
      </c>
      <c r="M1545" s="564">
        <v>2000</v>
      </c>
      <c r="N1545" s="564">
        <v>0</v>
      </c>
      <c r="O1545" s="763">
        <f t="shared" ref="O1545" si="150">N1545/M1545</f>
        <v>0</v>
      </c>
      <c r="P1545" s="991" t="s">
        <v>395</v>
      </c>
      <c r="Q1545" s="908"/>
      <c r="R1545" s="951"/>
    </row>
    <row r="1546" spans="1:18" s="193" customFormat="1" ht="51" customHeight="1">
      <c r="A1546" s="196">
        <v>15</v>
      </c>
      <c r="B1546" s="82">
        <v>854</v>
      </c>
      <c r="C1546" s="81"/>
      <c r="D1546" s="195"/>
      <c r="E1546" s="194" t="s">
        <v>24</v>
      </c>
      <c r="F1546" s="78">
        <f t="shared" ref="F1546:K1546" si="151">F1547+F1635</f>
        <v>0</v>
      </c>
      <c r="G1546" s="78">
        <f t="shared" si="151"/>
        <v>0</v>
      </c>
      <c r="H1546" s="78">
        <f t="shared" si="151"/>
        <v>0</v>
      </c>
      <c r="I1546" s="78">
        <f t="shared" si="151"/>
        <v>0</v>
      </c>
      <c r="J1546" s="78">
        <f t="shared" si="151"/>
        <v>0</v>
      </c>
      <c r="K1546" s="78">
        <f t="shared" si="151"/>
        <v>1103000</v>
      </c>
      <c r="L1546" s="77">
        <f>L1547+L1635+L1640</f>
        <v>1103000</v>
      </c>
      <c r="M1546" s="77">
        <f t="shared" ref="M1546:N1546" si="152">M1547+M1635+M1640</f>
        <v>1159900</v>
      </c>
      <c r="N1546" s="77">
        <f t="shared" si="152"/>
        <v>755874.52000000014</v>
      </c>
      <c r="O1546" s="834">
        <f>N1546/M1546</f>
        <v>0.6516721441503579</v>
      </c>
      <c r="P1546" s="781" t="s">
        <v>395</v>
      </c>
      <c r="Q1546" s="665"/>
    </row>
    <row r="1547" spans="1:18" s="174" customFormat="1" ht="51" customHeight="1">
      <c r="A1547" s="429"/>
      <c r="B1547" s="172" t="s">
        <v>23</v>
      </c>
      <c r="C1547" s="171"/>
      <c r="D1547" s="192"/>
      <c r="E1547" s="191" t="s">
        <v>22</v>
      </c>
      <c r="F1547" s="409">
        <f t="shared" ref="F1547:K1547" si="153">F1548</f>
        <v>0</v>
      </c>
      <c r="G1547" s="92">
        <f t="shared" si="153"/>
        <v>0</v>
      </c>
      <c r="H1547" s="92">
        <f t="shared" si="153"/>
        <v>0</v>
      </c>
      <c r="I1547" s="92">
        <f t="shared" si="153"/>
        <v>0</v>
      </c>
      <c r="J1547" s="92">
        <f t="shared" si="153"/>
        <v>0</v>
      </c>
      <c r="K1547" s="92">
        <f t="shared" si="153"/>
        <v>1024000</v>
      </c>
      <c r="L1547" s="92">
        <f>L1548</f>
        <v>1024000</v>
      </c>
      <c r="M1547" s="92">
        <f t="shared" ref="M1547:N1547" si="154">M1548</f>
        <v>1011250</v>
      </c>
      <c r="N1547" s="92">
        <f t="shared" si="154"/>
        <v>658354.31000000006</v>
      </c>
      <c r="O1547" s="755">
        <f>N1547/M1547</f>
        <v>0.65103022002472188</v>
      </c>
      <c r="P1547" s="788" t="s">
        <v>395</v>
      </c>
      <c r="Q1547" s="671"/>
    </row>
    <row r="1548" spans="1:18" s="186" customFormat="1" ht="39.9" customHeight="1">
      <c r="A1548" s="642"/>
      <c r="B1548" s="173"/>
      <c r="C1548" s="190" t="s">
        <v>21</v>
      </c>
      <c r="D1548" s="189"/>
      <c r="E1548" s="188" t="s">
        <v>20</v>
      </c>
      <c r="F1548" s="187"/>
      <c r="G1548" s="187"/>
      <c r="H1548" s="187"/>
      <c r="I1548" s="187"/>
      <c r="J1548" s="187"/>
      <c r="K1548" s="432">
        <f>K1549+K1592</f>
        <v>1024000</v>
      </c>
      <c r="L1548" s="432">
        <f>L1549+L1592</f>
        <v>1024000</v>
      </c>
      <c r="M1548" s="432">
        <f t="shared" ref="M1548:N1548" si="155">M1549+M1592</f>
        <v>1011250</v>
      </c>
      <c r="N1548" s="432">
        <f t="shared" si="155"/>
        <v>658354.31000000006</v>
      </c>
      <c r="O1548" s="819">
        <f>N1548/M1548</f>
        <v>0.65103022002472188</v>
      </c>
      <c r="P1548" s="780" t="s">
        <v>395</v>
      </c>
      <c r="Q1548" s="664"/>
    </row>
    <row r="1549" spans="1:18" s="181" customFormat="1" ht="41.25" customHeight="1">
      <c r="A1549" s="642"/>
      <c r="B1549" s="420"/>
      <c r="C1549" s="394">
        <v>1</v>
      </c>
      <c r="D1549" s="443"/>
      <c r="E1549" s="723" t="s">
        <v>221</v>
      </c>
      <c r="F1549" s="395"/>
      <c r="G1549" s="421"/>
      <c r="H1549" s="421"/>
      <c r="I1549" s="421"/>
      <c r="J1549" s="421"/>
      <c r="K1549" s="421">
        <f>525000+2000+37669+1331</f>
        <v>566000</v>
      </c>
      <c r="L1549" s="421">
        <f>L1550+L1569+L1591</f>
        <v>566000</v>
      </c>
      <c r="M1549" s="421">
        <f t="shared" ref="M1549:N1549" si="156">M1550+M1569+M1591</f>
        <v>561000</v>
      </c>
      <c r="N1549" s="421">
        <f t="shared" si="156"/>
        <v>384498.95</v>
      </c>
      <c r="O1549" s="850">
        <f>N1549/M1549</f>
        <v>0.68538137254901965</v>
      </c>
      <c r="P1549" s="793" t="s">
        <v>395</v>
      </c>
      <c r="Q1549" s="675"/>
    </row>
    <row r="1550" spans="1:18" s="431" customFormat="1" ht="39.9" customHeight="1">
      <c r="A1550" s="987"/>
      <c r="B1550" s="944"/>
      <c r="C1550" s="458"/>
      <c r="D1550" s="444"/>
      <c r="E1550" s="945" t="s">
        <v>412</v>
      </c>
      <c r="F1550" s="976"/>
      <c r="G1550" s="946"/>
      <c r="H1550" s="946"/>
      <c r="I1550" s="946"/>
      <c r="J1550" s="947"/>
      <c r="K1550" s="948"/>
      <c r="L1550" s="949">
        <v>525000</v>
      </c>
      <c r="M1550" s="949">
        <v>520000</v>
      </c>
      <c r="N1550" s="977">
        <f>SUM(N1552:N1568)</f>
        <v>356151.95</v>
      </c>
      <c r="O1550" s="978">
        <f>N1550/M1550</f>
        <v>0.68490759615384622</v>
      </c>
      <c r="P1550" s="780" t="s">
        <v>395</v>
      </c>
      <c r="Q1550" s="908"/>
      <c r="R1550" s="951"/>
    </row>
    <row r="1551" spans="1:18" s="440" customFormat="1" ht="34.5" customHeight="1">
      <c r="A1551" s="984"/>
      <c r="B1551" s="972"/>
      <c r="C1551" s="450"/>
      <c r="D1551" s="438"/>
      <c r="E1551" s="952" t="s">
        <v>13</v>
      </c>
      <c r="F1551" s="985"/>
      <c r="G1551" s="973"/>
      <c r="H1551" s="973"/>
      <c r="I1551" s="973"/>
      <c r="J1551" s="973"/>
      <c r="K1551" s="383"/>
      <c r="L1551" s="980"/>
      <c r="M1551" s="980"/>
      <c r="N1551" s="980"/>
      <c r="O1551" s="981"/>
      <c r="P1551" s="772"/>
      <c r="Q1551" s="812"/>
      <c r="R1551" s="953"/>
    </row>
    <row r="1552" spans="1:18" s="440" customFormat="1" ht="36" customHeight="1">
      <c r="A1552" s="984"/>
      <c r="B1552" s="972"/>
      <c r="C1552" s="450"/>
      <c r="D1552" s="425"/>
      <c r="E1552" s="954" t="s">
        <v>563</v>
      </c>
      <c r="F1552" s="985"/>
      <c r="G1552" s="973"/>
      <c r="H1552" s="973"/>
      <c r="I1552" s="973"/>
      <c r="J1552" s="973"/>
      <c r="K1552" s="383"/>
      <c r="L1552" s="955"/>
      <c r="M1552" s="955"/>
      <c r="N1552" s="983">
        <v>226866.06</v>
      </c>
      <c r="O1552" s="981"/>
      <c r="P1552" s="772"/>
      <c r="Q1552" s="812"/>
      <c r="R1552" s="953"/>
    </row>
    <row r="1553" spans="1:18" s="440" customFormat="1" ht="57" customHeight="1">
      <c r="A1553" s="984"/>
      <c r="B1553" s="972"/>
      <c r="C1553" s="450"/>
      <c r="D1553" s="438"/>
      <c r="E1553" s="954" t="s">
        <v>525</v>
      </c>
      <c r="F1553" s="985"/>
      <c r="G1553" s="973"/>
      <c r="H1553" s="973"/>
      <c r="I1553" s="973"/>
      <c r="J1553" s="973"/>
      <c r="K1553" s="383"/>
      <c r="L1553" s="955"/>
      <c r="M1553" s="955"/>
      <c r="N1553" s="983">
        <v>23277.599999999999</v>
      </c>
      <c r="O1553" s="981"/>
      <c r="P1553" s="772"/>
      <c r="Q1553" s="812"/>
      <c r="R1553" s="953"/>
    </row>
    <row r="1554" spans="1:18" s="440" customFormat="1" ht="58.5" customHeight="1">
      <c r="A1554" s="984"/>
      <c r="B1554" s="972"/>
      <c r="C1554" s="450"/>
      <c r="D1554" s="438"/>
      <c r="E1554" s="954" t="s">
        <v>564</v>
      </c>
      <c r="F1554" s="985"/>
      <c r="G1554" s="973"/>
      <c r="H1554" s="973"/>
      <c r="I1554" s="973"/>
      <c r="J1554" s="973"/>
      <c r="K1554" s="383"/>
      <c r="L1554" s="955"/>
      <c r="M1554" s="955"/>
      <c r="N1554" s="983">
        <v>2068.5500000000002</v>
      </c>
      <c r="O1554" s="981"/>
      <c r="P1554" s="772"/>
      <c r="Q1554" s="812"/>
      <c r="R1554" s="953"/>
    </row>
    <row r="1555" spans="1:18" s="440" customFormat="1" ht="36" customHeight="1">
      <c r="A1555" s="984"/>
      <c r="B1555" s="972"/>
      <c r="C1555" s="450"/>
      <c r="D1555" s="438"/>
      <c r="E1555" s="954" t="s">
        <v>565</v>
      </c>
      <c r="F1555" s="985"/>
      <c r="G1555" s="973"/>
      <c r="H1555" s="973"/>
      <c r="I1555" s="973"/>
      <c r="J1555" s="973"/>
      <c r="K1555" s="383"/>
      <c r="L1555" s="955"/>
      <c r="M1555" s="955"/>
      <c r="N1555" s="983">
        <v>5590.28</v>
      </c>
      <c r="O1555" s="981"/>
      <c r="P1555" s="772"/>
      <c r="Q1555" s="812"/>
      <c r="R1555" s="953"/>
    </row>
    <row r="1556" spans="1:18" s="440" customFormat="1" ht="36" customHeight="1">
      <c r="A1556" s="984"/>
      <c r="B1556" s="972"/>
      <c r="C1556" s="450"/>
      <c r="D1556" s="438"/>
      <c r="E1556" s="954" t="s">
        <v>534</v>
      </c>
      <c r="F1556" s="985"/>
      <c r="G1556" s="973"/>
      <c r="H1556" s="973"/>
      <c r="I1556" s="973"/>
      <c r="J1556" s="973"/>
      <c r="K1556" s="383"/>
      <c r="L1556" s="955"/>
      <c r="M1556" s="955"/>
      <c r="N1556" s="983">
        <v>0</v>
      </c>
      <c r="O1556" s="981"/>
      <c r="P1556" s="772"/>
      <c r="Q1556" s="812"/>
      <c r="R1556" s="953"/>
    </row>
    <row r="1557" spans="1:18" s="440" customFormat="1" ht="36" customHeight="1">
      <c r="A1557" s="984"/>
      <c r="B1557" s="972"/>
      <c r="C1557" s="450"/>
      <c r="D1557" s="438"/>
      <c r="E1557" s="954" t="s">
        <v>437</v>
      </c>
      <c r="F1557" s="985"/>
      <c r="G1557" s="973"/>
      <c r="H1557" s="973"/>
      <c r="I1557" s="973"/>
      <c r="J1557" s="973"/>
      <c r="K1557" s="383"/>
      <c r="L1557" s="955"/>
      <c r="M1557" s="955"/>
      <c r="N1557" s="983">
        <v>0</v>
      </c>
      <c r="O1557" s="981"/>
      <c r="P1557" s="772"/>
      <c r="Q1557" s="812"/>
      <c r="R1557" s="953"/>
    </row>
    <row r="1558" spans="1:18" s="440" customFormat="1" ht="36" customHeight="1">
      <c r="A1558" s="984"/>
      <c r="B1558" s="972"/>
      <c r="C1558" s="450"/>
      <c r="D1558" s="438"/>
      <c r="E1558" s="954" t="s">
        <v>438</v>
      </c>
      <c r="F1558" s="985"/>
      <c r="G1558" s="973"/>
      <c r="H1558" s="973"/>
      <c r="I1558" s="973"/>
      <c r="J1558" s="973"/>
      <c r="K1558" s="383"/>
      <c r="L1558" s="955"/>
      <c r="M1558" s="955"/>
      <c r="N1558" s="983">
        <v>0</v>
      </c>
      <c r="O1558" s="981"/>
      <c r="P1558" s="772"/>
      <c r="Q1558" s="812"/>
      <c r="R1558" s="953"/>
    </row>
    <row r="1559" spans="1:18" s="440" customFormat="1" ht="36" customHeight="1">
      <c r="A1559" s="984"/>
      <c r="B1559" s="972"/>
      <c r="C1559" s="450"/>
      <c r="D1559" s="438"/>
      <c r="E1559" s="954" t="s">
        <v>490</v>
      </c>
      <c r="F1559" s="985"/>
      <c r="G1559" s="973"/>
      <c r="H1559" s="973"/>
      <c r="I1559" s="973"/>
      <c r="J1559" s="973"/>
      <c r="K1559" s="383"/>
      <c r="L1559" s="955"/>
      <c r="M1559" s="955"/>
      <c r="N1559" s="983">
        <v>1268.5</v>
      </c>
      <c r="O1559" s="981"/>
      <c r="P1559" s="772"/>
      <c r="Q1559" s="812"/>
      <c r="R1559" s="953"/>
    </row>
    <row r="1560" spans="1:18" s="440" customFormat="1" ht="36" customHeight="1">
      <c r="A1560" s="984"/>
      <c r="B1560" s="972"/>
      <c r="C1560" s="450"/>
      <c r="D1560" s="438"/>
      <c r="E1560" s="954" t="s">
        <v>439</v>
      </c>
      <c r="F1560" s="985"/>
      <c r="G1560" s="973"/>
      <c r="H1560" s="973"/>
      <c r="I1560" s="973"/>
      <c r="J1560" s="973"/>
      <c r="K1560" s="383"/>
      <c r="L1560" s="955"/>
      <c r="M1560" s="955"/>
      <c r="N1560" s="983">
        <v>0</v>
      </c>
      <c r="O1560" s="981"/>
      <c r="P1560" s="772"/>
      <c r="Q1560" s="812"/>
      <c r="R1560" s="953"/>
    </row>
    <row r="1561" spans="1:18" s="440" customFormat="1" ht="36" customHeight="1">
      <c r="A1561" s="984"/>
      <c r="B1561" s="972"/>
      <c r="C1561" s="450"/>
      <c r="D1561" s="438"/>
      <c r="E1561" s="954" t="s">
        <v>440</v>
      </c>
      <c r="F1561" s="985"/>
      <c r="G1561" s="973"/>
      <c r="H1561" s="973"/>
      <c r="I1561" s="973"/>
      <c r="J1561" s="973"/>
      <c r="K1561" s="383"/>
      <c r="L1561" s="955"/>
      <c r="M1561" s="955"/>
      <c r="N1561" s="983">
        <v>0</v>
      </c>
      <c r="O1561" s="981"/>
      <c r="P1561" s="772"/>
      <c r="Q1561" s="812"/>
      <c r="R1561" s="953"/>
    </row>
    <row r="1562" spans="1:18" s="440" customFormat="1" ht="36" customHeight="1">
      <c r="A1562" s="984"/>
      <c r="B1562" s="972"/>
      <c r="C1562" s="450"/>
      <c r="D1562" s="438"/>
      <c r="E1562" s="954" t="s">
        <v>566</v>
      </c>
      <c r="F1562" s="985"/>
      <c r="G1562" s="973"/>
      <c r="H1562" s="973"/>
      <c r="I1562" s="973"/>
      <c r="J1562" s="973"/>
      <c r="K1562" s="383"/>
      <c r="L1562" s="955"/>
      <c r="M1562" s="955"/>
      <c r="N1562" s="983">
        <v>2023.1</v>
      </c>
      <c r="O1562" s="981"/>
      <c r="P1562" s="772"/>
      <c r="Q1562" s="812"/>
      <c r="R1562" s="953"/>
    </row>
    <row r="1563" spans="1:18" s="440" customFormat="1" ht="57" customHeight="1">
      <c r="A1563" s="984"/>
      <c r="B1563" s="972"/>
      <c r="C1563" s="450"/>
      <c r="D1563" s="438"/>
      <c r="E1563" s="954" t="s">
        <v>562</v>
      </c>
      <c r="F1563" s="985"/>
      <c r="G1563" s="973"/>
      <c r="H1563" s="973"/>
      <c r="I1563" s="973"/>
      <c r="J1563" s="973"/>
      <c r="K1563" s="383"/>
      <c r="L1563" s="955"/>
      <c r="M1563" s="955"/>
      <c r="N1563" s="983">
        <v>0</v>
      </c>
      <c r="O1563" s="981"/>
      <c r="P1563" s="772"/>
      <c r="Q1563" s="812"/>
      <c r="R1563" s="953"/>
    </row>
    <row r="1564" spans="1:18" s="440" customFormat="1" ht="36" customHeight="1">
      <c r="A1564" s="984"/>
      <c r="B1564" s="972"/>
      <c r="C1564" s="450"/>
      <c r="D1564" s="438"/>
      <c r="E1564" s="954" t="s">
        <v>442</v>
      </c>
      <c r="F1564" s="985"/>
      <c r="G1564" s="973"/>
      <c r="H1564" s="973"/>
      <c r="I1564" s="973"/>
      <c r="J1564" s="973"/>
      <c r="K1564" s="383"/>
      <c r="L1564" s="955"/>
      <c r="M1564" s="955"/>
      <c r="N1564" s="983">
        <v>0</v>
      </c>
      <c r="O1564" s="981"/>
      <c r="P1564" s="772"/>
      <c r="Q1564" s="812"/>
      <c r="R1564" s="953"/>
    </row>
    <row r="1565" spans="1:18" s="440" customFormat="1" ht="36" customHeight="1">
      <c r="A1565" s="984"/>
      <c r="B1565" s="972"/>
      <c r="C1565" s="450"/>
      <c r="D1565" s="438"/>
      <c r="E1565" s="954" t="s">
        <v>443</v>
      </c>
      <c r="F1565" s="985"/>
      <c r="G1565" s="973"/>
      <c r="H1565" s="973"/>
      <c r="I1565" s="973"/>
      <c r="J1565" s="973"/>
      <c r="K1565" s="383"/>
      <c r="L1565" s="955"/>
      <c r="M1565" s="955"/>
      <c r="N1565" s="983">
        <v>38769.620000000003</v>
      </c>
      <c r="O1565" s="981"/>
      <c r="P1565" s="772"/>
      <c r="Q1565" s="812"/>
      <c r="R1565" s="953"/>
    </row>
    <row r="1566" spans="1:18" s="440" customFormat="1" ht="36" customHeight="1">
      <c r="A1566" s="984"/>
      <c r="B1566" s="972"/>
      <c r="C1566" s="450"/>
      <c r="D1566" s="438"/>
      <c r="E1566" s="954" t="s">
        <v>482</v>
      </c>
      <c r="F1566" s="985"/>
      <c r="G1566" s="973"/>
      <c r="H1566" s="973"/>
      <c r="I1566" s="973"/>
      <c r="J1566" s="973"/>
      <c r="K1566" s="383"/>
      <c r="L1566" s="955"/>
      <c r="M1566" s="955"/>
      <c r="N1566" s="983">
        <v>0</v>
      </c>
      <c r="O1566" s="981"/>
      <c r="P1566" s="772"/>
      <c r="Q1566" s="812"/>
      <c r="R1566" s="953"/>
    </row>
    <row r="1567" spans="1:18" s="440" customFormat="1" ht="36" customHeight="1">
      <c r="A1567" s="984"/>
      <c r="B1567" s="972"/>
      <c r="C1567" s="450"/>
      <c r="D1567" s="438"/>
      <c r="E1567" s="954" t="s">
        <v>445</v>
      </c>
      <c r="F1567" s="985"/>
      <c r="G1567" s="973"/>
      <c r="H1567" s="973"/>
      <c r="I1567" s="973"/>
      <c r="J1567" s="973"/>
      <c r="K1567" s="383"/>
      <c r="L1567" s="955"/>
      <c r="M1567" s="955"/>
      <c r="N1567" s="983">
        <v>0</v>
      </c>
      <c r="O1567" s="981"/>
      <c r="P1567" s="772"/>
      <c r="Q1567" s="812"/>
      <c r="R1567" s="953"/>
    </row>
    <row r="1568" spans="1:18" s="440" customFormat="1" ht="36" customHeight="1">
      <c r="A1568" s="984"/>
      <c r="B1568" s="972"/>
      <c r="C1568" s="450"/>
      <c r="D1568" s="438"/>
      <c r="E1568" s="954" t="s">
        <v>446</v>
      </c>
      <c r="F1568" s="985"/>
      <c r="G1568" s="973"/>
      <c r="H1568" s="973"/>
      <c r="I1568" s="973"/>
      <c r="J1568" s="973"/>
      <c r="K1568" s="383"/>
      <c r="L1568" s="955"/>
      <c r="M1568" s="955"/>
      <c r="N1568" s="983">
        <v>56288.24</v>
      </c>
      <c r="O1568" s="981"/>
      <c r="P1568" s="772"/>
      <c r="Q1568" s="812"/>
      <c r="R1568" s="953"/>
    </row>
    <row r="1569" spans="1:18" s="440" customFormat="1" ht="57" customHeight="1">
      <c r="A1569" s="984"/>
      <c r="B1569" s="972"/>
      <c r="C1569" s="986"/>
      <c r="D1569" s="438"/>
      <c r="E1569" s="945" t="s">
        <v>418</v>
      </c>
      <c r="F1569" s="949">
        <v>117300</v>
      </c>
      <c r="G1569" s="949">
        <v>111778</v>
      </c>
      <c r="H1569" s="949">
        <v>74715.13</v>
      </c>
      <c r="I1569" s="973"/>
      <c r="J1569" s="973"/>
      <c r="K1569" s="529"/>
      <c r="L1569" s="949">
        <v>41000</v>
      </c>
      <c r="M1569" s="949">
        <v>41000</v>
      </c>
      <c r="N1569" s="977">
        <f>SUM(N1570:N1590)</f>
        <v>28347</v>
      </c>
      <c r="O1569" s="978">
        <f>N1569/M1569</f>
        <v>0.69139024390243897</v>
      </c>
      <c r="P1569" s="772" t="s">
        <v>395</v>
      </c>
      <c r="Q1569" s="812"/>
      <c r="R1569" s="953"/>
    </row>
    <row r="1570" spans="1:18" s="440" customFormat="1" ht="78.75" customHeight="1">
      <c r="A1570" s="984"/>
      <c r="B1570" s="972"/>
      <c r="C1570" s="450"/>
      <c r="D1570" s="438"/>
      <c r="E1570" s="957" t="s">
        <v>447</v>
      </c>
      <c r="F1570" s="958"/>
      <c r="G1570" s="958"/>
      <c r="H1570" s="958">
        <v>0</v>
      </c>
      <c r="I1570" s="973"/>
      <c r="J1570" s="973"/>
      <c r="K1570" s="529"/>
      <c r="L1570" s="958"/>
      <c r="M1570" s="958"/>
      <c r="N1570" s="983">
        <v>0</v>
      </c>
      <c r="O1570" s="981"/>
      <c r="P1570" s="772"/>
      <c r="Q1570" s="812"/>
      <c r="R1570" s="953"/>
    </row>
    <row r="1571" spans="1:18" s="440" customFormat="1" ht="36" customHeight="1">
      <c r="A1571" s="984"/>
      <c r="B1571" s="972"/>
      <c r="C1571" s="450"/>
      <c r="D1571" s="438"/>
      <c r="E1571" s="957" t="s">
        <v>448</v>
      </c>
      <c r="F1571" s="958"/>
      <c r="G1571" s="958"/>
      <c r="H1571" s="958">
        <v>0</v>
      </c>
      <c r="I1571" s="973"/>
      <c r="J1571" s="973"/>
      <c r="K1571" s="529"/>
      <c r="L1571" s="958"/>
      <c r="M1571" s="958"/>
      <c r="N1571" s="983">
        <v>0</v>
      </c>
      <c r="O1571" s="981"/>
      <c r="P1571" s="772"/>
      <c r="Q1571" s="812"/>
      <c r="R1571" s="953"/>
    </row>
    <row r="1572" spans="1:18" s="440" customFormat="1" ht="36" customHeight="1">
      <c r="A1572" s="984"/>
      <c r="B1572" s="972"/>
      <c r="C1572" s="450"/>
      <c r="D1572" s="438"/>
      <c r="E1572" s="957" t="s">
        <v>449</v>
      </c>
      <c r="F1572" s="958"/>
      <c r="G1572" s="958"/>
      <c r="H1572" s="958">
        <v>0</v>
      </c>
      <c r="I1572" s="973"/>
      <c r="J1572" s="973"/>
      <c r="K1572" s="529"/>
      <c r="L1572" s="958"/>
      <c r="M1572" s="958"/>
      <c r="N1572" s="983">
        <v>0</v>
      </c>
      <c r="O1572" s="981"/>
      <c r="P1572" s="772"/>
      <c r="Q1572" s="812"/>
      <c r="R1572" s="953"/>
    </row>
    <row r="1573" spans="1:18" s="440" customFormat="1" ht="36" customHeight="1">
      <c r="A1573" s="984"/>
      <c r="B1573" s="972"/>
      <c r="C1573" s="450"/>
      <c r="D1573" s="438"/>
      <c r="E1573" s="957" t="s">
        <v>450</v>
      </c>
      <c r="F1573" s="958"/>
      <c r="G1573" s="958"/>
      <c r="H1573" s="958">
        <v>0</v>
      </c>
      <c r="I1573" s="973"/>
      <c r="J1573" s="973"/>
      <c r="K1573" s="529"/>
      <c r="L1573" s="958"/>
      <c r="M1573" s="958"/>
      <c r="N1573" s="983">
        <v>0</v>
      </c>
      <c r="O1573" s="981"/>
      <c r="P1573" s="772"/>
      <c r="Q1573" s="812"/>
      <c r="R1573" s="953"/>
    </row>
    <row r="1574" spans="1:18" s="440" customFormat="1" ht="36" customHeight="1">
      <c r="A1574" s="984"/>
      <c r="B1574" s="972"/>
      <c r="C1574" s="450"/>
      <c r="D1574" s="438"/>
      <c r="E1574" s="957" t="s">
        <v>451</v>
      </c>
      <c r="F1574" s="958"/>
      <c r="G1574" s="958"/>
      <c r="H1574" s="958">
        <v>0</v>
      </c>
      <c r="I1574" s="973"/>
      <c r="J1574" s="973"/>
      <c r="K1574" s="529"/>
      <c r="L1574" s="958"/>
      <c r="M1574" s="958"/>
      <c r="N1574" s="983">
        <v>0</v>
      </c>
      <c r="O1574" s="981"/>
      <c r="P1574" s="772"/>
      <c r="Q1574" s="812"/>
      <c r="R1574" s="953"/>
    </row>
    <row r="1575" spans="1:18" s="440" customFormat="1" ht="36" customHeight="1">
      <c r="A1575" s="984"/>
      <c r="B1575" s="972"/>
      <c r="C1575" s="450"/>
      <c r="D1575" s="438"/>
      <c r="E1575" s="960" t="s">
        <v>486</v>
      </c>
      <c r="F1575" s="958"/>
      <c r="G1575" s="958"/>
      <c r="H1575" s="958">
        <v>4300</v>
      </c>
      <c r="I1575" s="973"/>
      <c r="J1575" s="973"/>
      <c r="K1575" s="529"/>
      <c r="L1575" s="958"/>
      <c r="M1575" s="958"/>
      <c r="N1575" s="983">
        <v>0</v>
      </c>
      <c r="O1575" s="981"/>
      <c r="P1575" s="772"/>
      <c r="Q1575" s="812"/>
      <c r="R1575" s="953"/>
    </row>
    <row r="1576" spans="1:18" s="440" customFormat="1" ht="84" customHeight="1">
      <c r="A1576" s="984"/>
      <c r="B1576" s="972"/>
      <c r="C1576" s="450"/>
      <c r="D1576" s="438"/>
      <c r="E1576" s="957" t="s">
        <v>452</v>
      </c>
      <c r="F1576" s="958"/>
      <c r="G1576" s="958"/>
      <c r="H1576" s="958">
        <v>0</v>
      </c>
      <c r="I1576" s="973"/>
      <c r="J1576" s="973"/>
      <c r="K1576" s="529"/>
      <c r="L1576" s="958"/>
      <c r="M1576" s="958"/>
      <c r="N1576" s="983">
        <v>0</v>
      </c>
      <c r="O1576" s="981"/>
      <c r="P1576" s="772"/>
      <c r="Q1576" s="812"/>
      <c r="R1576" s="953"/>
    </row>
    <row r="1577" spans="1:18" s="440" customFormat="1" ht="54.75" customHeight="1">
      <c r="A1577" s="984"/>
      <c r="B1577" s="972"/>
      <c r="C1577" s="450"/>
      <c r="D1577" s="438"/>
      <c r="E1577" s="957" t="s">
        <v>453</v>
      </c>
      <c r="F1577" s="958"/>
      <c r="G1577" s="958"/>
      <c r="H1577" s="958">
        <v>0</v>
      </c>
      <c r="I1577" s="973"/>
      <c r="J1577" s="973"/>
      <c r="K1577" s="529"/>
      <c r="L1577" s="958"/>
      <c r="M1577" s="958"/>
      <c r="N1577" s="983">
        <v>0</v>
      </c>
      <c r="O1577" s="981"/>
      <c r="P1577" s="772"/>
      <c r="Q1577" s="812"/>
      <c r="R1577" s="953"/>
    </row>
    <row r="1578" spans="1:18" s="440" customFormat="1" ht="36" customHeight="1">
      <c r="A1578" s="984"/>
      <c r="B1578" s="972"/>
      <c r="C1578" s="450"/>
      <c r="D1578" s="438"/>
      <c r="E1578" s="957" t="s">
        <v>454</v>
      </c>
      <c r="F1578" s="958"/>
      <c r="G1578" s="958"/>
      <c r="H1578" s="958">
        <v>0</v>
      </c>
      <c r="I1578" s="973"/>
      <c r="J1578" s="973"/>
      <c r="K1578" s="529"/>
      <c r="L1578" s="958"/>
      <c r="M1578" s="958"/>
      <c r="N1578" s="983">
        <v>0</v>
      </c>
      <c r="O1578" s="981"/>
      <c r="P1578" s="772"/>
      <c r="Q1578" s="812"/>
      <c r="R1578" s="953"/>
    </row>
    <row r="1579" spans="1:18" s="440" customFormat="1" ht="54.75" customHeight="1">
      <c r="A1579" s="984"/>
      <c r="B1579" s="972"/>
      <c r="C1579" s="450"/>
      <c r="D1579" s="438"/>
      <c r="E1579" s="957" t="s">
        <v>455</v>
      </c>
      <c r="F1579" s="958"/>
      <c r="G1579" s="958"/>
      <c r="H1579" s="958">
        <v>0</v>
      </c>
      <c r="I1579" s="973"/>
      <c r="J1579" s="973"/>
      <c r="K1579" s="529"/>
      <c r="L1579" s="958"/>
      <c r="M1579" s="958"/>
      <c r="N1579" s="983">
        <v>0</v>
      </c>
      <c r="O1579" s="981"/>
      <c r="P1579" s="772"/>
      <c r="Q1579" s="812"/>
      <c r="R1579" s="953"/>
    </row>
    <row r="1580" spans="1:18" s="440" customFormat="1" ht="36" customHeight="1">
      <c r="A1580" s="984"/>
      <c r="B1580" s="972"/>
      <c r="C1580" s="450"/>
      <c r="D1580" s="438"/>
      <c r="E1580" s="957" t="s">
        <v>456</v>
      </c>
      <c r="F1580" s="958"/>
      <c r="G1580" s="958"/>
      <c r="H1580" s="958">
        <v>0</v>
      </c>
      <c r="I1580" s="973"/>
      <c r="J1580" s="973"/>
      <c r="K1580" s="529"/>
      <c r="L1580" s="958"/>
      <c r="M1580" s="958"/>
      <c r="N1580" s="983">
        <v>0</v>
      </c>
      <c r="O1580" s="981"/>
      <c r="P1580" s="772"/>
      <c r="Q1580" s="812"/>
      <c r="R1580" s="953"/>
    </row>
    <row r="1581" spans="1:18" s="440" customFormat="1" ht="54.75" customHeight="1">
      <c r="A1581" s="984"/>
      <c r="B1581" s="972"/>
      <c r="C1581" s="450"/>
      <c r="D1581" s="438"/>
      <c r="E1581" s="957" t="s">
        <v>457</v>
      </c>
      <c r="F1581" s="958"/>
      <c r="G1581" s="958"/>
      <c r="H1581" s="958">
        <v>0</v>
      </c>
      <c r="I1581" s="973"/>
      <c r="J1581" s="973"/>
      <c r="K1581" s="529"/>
      <c r="L1581" s="958"/>
      <c r="M1581" s="958"/>
      <c r="N1581" s="983">
        <v>0</v>
      </c>
      <c r="O1581" s="981"/>
      <c r="P1581" s="772"/>
      <c r="Q1581" s="812"/>
      <c r="R1581" s="953"/>
    </row>
    <row r="1582" spans="1:18" s="440" customFormat="1" ht="36" customHeight="1">
      <c r="A1582" s="984"/>
      <c r="B1582" s="972"/>
      <c r="C1582" s="450"/>
      <c r="D1582" s="438"/>
      <c r="E1582" s="957" t="s">
        <v>458</v>
      </c>
      <c r="F1582" s="961"/>
      <c r="G1582" s="961"/>
      <c r="H1582" s="958">
        <v>32231.32</v>
      </c>
      <c r="I1582" s="973"/>
      <c r="J1582" s="973"/>
      <c r="K1582" s="529"/>
      <c r="L1582" s="961"/>
      <c r="M1582" s="961"/>
      <c r="N1582" s="983">
        <v>0</v>
      </c>
      <c r="O1582" s="981"/>
      <c r="P1582" s="772"/>
      <c r="Q1582" s="812"/>
      <c r="R1582" s="953"/>
    </row>
    <row r="1583" spans="1:18" s="440" customFormat="1" ht="36" customHeight="1">
      <c r="A1583" s="984"/>
      <c r="B1583" s="972"/>
      <c r="C1583" s="450"/>
      <c r="D1583" s="438"/>
      <c r="E1583" s="957" t="s">
        <v>459</v>
      </c>
      <c r="F1583" s="961"/>
      <c r="G1583" s="961"/>
      <c r="H1583" s="958">
        <v>0</v>
      </c>
      <c r="I1583" s="973"/>
      <c r="J1583" s="973"/>
      <c r="K1583" s="529"/>
      <c r="L1583" s="961"/>
      <c r="M1583" s="961"/>
      <c r="N1583" s="983">
        <v>0</v>
      </c>
      <c r="O1583" s="981"/>
      <c r="P1583" s="772"/>
      <c r="Q1583" s="812"/>
      <c r="R1583" s="953"/>
    </row>
    <row r="1584" spans="1:18" s="440" customFormat="1" ht="36" customHeight="1">
      <c r="A1584" s="984"/>
      <c r="B1584" s="972"/>
      <c r="C1584" s="450"/>
      <c r="D1584" s="438"/>
      <c r="E1584" s="957" t="s">
        <v>460</v>
      </c>
      <c r="F1584" s="961"/>
      <c r="G1584" s="961"/>
      <c r="H1584" s="958">
        <v>692</v>
      </c>
      <c r="I1584" s="973"/>
      <c r="J1584" s="973"/>
      <c r="K1584" s="529"/>
      <c r="L1584" s="961"/>
      <c r="M1584" s="961"/>
      <c r="N1584" s="983">
        <v>0</v>
      </c>
      <c r="O1584" s="981"/>
      <c r="P1584" s="772"/>
      <c r="Q1584" s="812"/>
      <c r="R1584" s="953"/>
    </row>
    <row r="1585" spans="1:18" s="440" customFormat="1" ht="36" customHeight="1">
      <c r="A1585" s="984"/>
      <c r="B1585" s="972"/>
      <c r="C1585" s="450"/>
      <c r="D1585" s="438"/>
      <c r="E1585" s="957" t="s">
        <v>461</v>
      </c>
      <c r="F1585" s="961"/>
      <c r="G1585" s="961"/>
      <c r="H1585" s="958">
        <v>35817</v>
      </c>
      <c r="I1585" s="973"/>
      <c r="J1585" s="973"/>
      <c r="K1585" s="529"/>
      <c r="L1585" s="961"/>
      <c r="M1585" s="961"/>
      <c r="N1585" s="983">
        <v>28252</v>
      </c>
      <c r="O1585" s="981"/>
      <c r="P1585" s="772"/>
      <c r="Q1585" s="812"/>
      <c r="R1585" s="953"/>
    </row>
    <row r="1586" spans="1:18" s="440" customFormat="1" ht="36" customHeight="1">
      <c r="A1586" s="984"/>
      <c r="B1586" s="972"/>
      <c r="C1586" s="450"/>
      <c r="D1586" s="438"/>
      <c r="E1586" s="957" t="s">
        <v>462</v>
      </c>
      <c r="F1586" s="961"/>
      <c r="G1586" s="961"/>
      <c r="H1586" s="958">
        <v>0</v>
      </c>
      <c r="I1586" s="973"/>
      <c r="J1586" s="973"/>
      <c r="K1586" s="529"/>
      <c r="L1586" s="961"/>
      <c r="M1586" s="961"/>
      <c r="N1586" s="983">
        <v>0</v>
      </c>
      <c r="O1586" s="981"/>
      <c r="P1586" s="772"/>
      <c r="Q1586" s="812"/>
      <c r="R1586" s="953"/>
    </row>
    <row r="1587" spans="1:18" s="440" customFormat="1" ht="57.75" customHeight="1">
      <c r="A1587" s="984"/>
      <c r="B1587" s="972"/>
      <c r="C1587" s="450"/>
      <c r="D1587" s="438"/>
      <c r="E1587" s="957" t="s">
        <v>463</v>
      </c>
      <c r="F1587" s="961"/>
      <c r="G1587" s="961"/>
      <c r="H1587" s="958">
        <v>0</v>
      </c>
      <c r="I1587" s="973"/>
      <c r="J1587" s="973"/>
      <c r="K1587" s="529"/>
      <c r="L1587" s="961"/>
      <c r="M1587" s="961"/>
      <c r="N1587" s="983">
        <v>0</v>
      </c>
      <c r="O1587" s="981"/>
      <c r="P1587" s="772"/>
      <c r="Q1587" s="812"/>
      <c r="R1587" s="953"/>
    </row>
    <row r="1588" spans="1:18" s="440" customFormat="1" ht="36" customHeight="1">
      <c r="A1588" s="984"/>
      <c r="B1588" s="972"/>
      <c r="C1588" s="450"/>
      <c r="D1588" s="438"/>
      <c r="E1588" s="957" t="s">
        <v>464</v>
      </c>
      <c r="F1588" s="961"/>
      <c r="G1588" s="961"/>
      <c r="H1588" s="958">
        <v>0</v>
      </c>
      <c r="I1588" s="973"/>
      <c r="J1588" s="973"/>
      <c r="K1588" s="529"/>
      <c r="L1588" s="961"/>
      <c r="M1588" s="961"/>
      <c r="N1588" s="983">
        <v>0</v>
      </c>
      <c r="O1588" s="981"/>
      <c r="P1588" s="772"/>
      <c r="Q1588" s="812"/>
      <c r="R1588" s="953"/>
    </row>
    <row r="1589" spans="1:18" s="440" customFormat="1" ht="36" customHeight="1">
      <c r="A1589" s="984"/>
      <c r="B1589" s="972"/>
      <c r="C1589" s="450"/>
      <c r="D1589" s="438"/>
      <c r="E1589" s="957" t="s">
        <v>465</v>
      </c>
      <c r="F1589" s="961"/>
      <c r="G1589" s="961"/>
      <c r="H1589" s="958">
        <v>0</v>
      </c>
      <c r="I1589" s="973"/>
      <c r="J1589" s="973"/>
      <c r="K1589" s="529"/>
      <c r="L1589" s="961"/>
      <c r="M1589" s="961"/>
      <c r="N1589" s="983">
        <v>0</v>
      </c>
      <c r="O1589" s="981"/>
      <c r="P1589" s="772"/>
      <c r="Q1589" s="812"/>
      <c r="R1589" s="953"/>
    </row>
    <row r="1590" spans="1:18" s="440" customFormat="1" ht="36" customHeight="1">
      <c r="A1590" s="984"/>
      <c r="B1590" s="972"/>
      <c r="C1590" s="450"/>
      <c r="D1590" s="438"/>
      <c r="E1590" s="957" t="s">
        <v>466</v>
      </c>
      <c r="F1590" s="961"/>
      <c r="G1590" s="961"/>
      <c r="H1590" s="958">
        <v>1674.81</v>
      </c>
      <c r="I1590" s="973"/>
      <c r="J1590" s="973"/>
      <c r="K1590" s="529"/>
      <c r="L1590" s="961"/>
      <c r="M1590" s="961"/>
      <c r="N1590" s="983">
        <v>95</v>
      </c>
      <c r="O1590" s="981"/>
      <c r="P1590" s="772"/>
      <c r="Q1590" s="812"/>
      <c r="R1590" s="953"/>
    </row>
    <row r="1591" spans="1:18" s="440" customFormat="1" ht="57" customHeight="1">
      <c r="A1591" s="984"/>
      <c r="B1591" s="972"/>
      <c r="C1591" s="1007"/>
      <c r="D1591" s="1008"/>
      <c r="E1591" s="1009" t="s">
        <v>467</v>
      </c>
      <c r="F1591" s="1010">
        <v>117300</v>
      </c>
      <c r="G1591" s="1010">
        <v>111778</v>
      </c>
      <c r="H1591" s="1010">
        <v>74715.13</v>
      </c>
      <c r="I1591" s="1011"/>
      <c r="J1591" s="1011"/>
      <c r="K1591" s="1012"/>
      <c r="L1591" s="1010">
        <v>0</v>
      </c>
      <c r="M1591" s="1010">
        <v>0</v>
      </c>
      <c r="N1591" s="1010">
        <v>0</v>
      </c>
      <c r="O1591" s="1013">
        <v>0</v>
      </c>
      <c r="P1591" s="772" t="s">
        <v>395</v>
      </c>
      <c r="Q1591" s="812"/>
      <c r="R1591" s="953"/>
    </row>
    <row r="1592" spans="1:18" s="177" customFormat="1" ht="39.9" customHeight="1">
      <c r="A1592" s="642"/>
      <c r="B1592" s="173"/>
      <c r="C1592" s="180">
        <v>2</v>
      </c>
      <c r="D1592" s="179"/>
      <c r="E1592" s="178" t="s">
        <v>284</v>
      </c>
      <c r="F1592" s="254"/>
      <c r="G1592" s="455"/>
      <c r="H1592" s="455"/>
      <c r="I1592" s="455"/>
      <c r="J1592" s="455"/>
      <c r="K1592" s="455">
        <f>435000+2000+20000+1000</f>
        <v>458000</v>
      </c>
      <c r="L1592" s="455">
        <f>L1593+L1612+L1634</f>
        <v>458000</v>
      </c>
      <c r="M1592" s="455">
        <f t="shared" ref="M1592:N1592" si="157">M1593+M1612+M1634</f>
        <v>450250</v>
      </c>
      <c r="N1592" s="455">
        <f t="shared" si="157"/>
        <v>273855.35999999999</v>
      </c>
      <c r="O1592" s="878">
        <f>N1592/M1592</f>
        <v>0.60822956135480288</v>
      </c>
      <c r="P1592" s="793" t="s">
        <v>395</v>
      </c>
      <c r="Q1592" s="675"/>
    </row>
    <row r="1593" spans="1:18" s="431" customFormat="1" ht="39.9" customHeight="1">
      <c r="A1593" s="987"/>
      <c r="B1593" s="944"/>
      <c r="C1593" s="458"/>
      <c r="D1593" s="444"/>
      <c r="E1593" s="945" t="s">
        <v>412</v>
      </c>
      <c r="F1593" s="976"/>
      <c r="G1593" s="946"/>
      <c r="H1593" s="946"/>
      <c r="I1593" s="946"/>
      <c r="J1593" s="947"/>
      <c r="K1593" s="948"/>
      <c r="L1593" s="949">
        <v>435000</v>
      </c>
      <c r="M1593" s="949">
        <v>427250</v>
      </c>
      <c r="N1593" s="977">
        <f>SUM(N1595:N1611)</f>
        <v>258125.16</v>
      </c>
      <c r="O1593" s="978">
        <f>N1593/M1593</f>
        <v>0.60415485078993569</v>
      </c>
      <c r="P1593" s="780" t="s">
        <v>395</v>
      </c>
      <c r="Q1593" s="908"/>
      <c r="R1593" s="951"/>
    </row>
    <row r="1594" spans="1:18" s="440" customFormat="1" ht="34.5" customHeight="1">
      <c r="A1594" s="984"/>
      <c r="B1594" s="972"/>
      <c r="C1594" s="450"/>
      <c r="D1594" s="438"/>
      <c r="E1594" s="952" t="s">
        <v>13</v>
      </c>
      <c r="F1594" s="985"/>
      <c r="G1594" s="973"/>
      <c r="H1594" s="973"/>
      <c r="I1594" s="973"/>
      <c r="J1594" s="973"/>
      <c r="K1594" s="383"/>
      <c r="L1594" s="980"/>
      <c r="M1594" s="980"/>
      <c r="N1594" s="980"/>
      <c r="O1594" s="981"/>
      <c r="P1594" s="772"/>
      <c r="Q1594" s="812"/>
      <c r="R1594" s="953"/>
    </row>
    <row r="1595" spans="1:18" s="440" customFormat="1" ht="36" customHeight="1">
      <c r="A1595" s="984"/>
      <c r="B1595" s="972"/>
      <c r="C1595" s="450"/>
      <c r="D1595" s="425"/>
      <c r="E1595" s="954" t="s">
        <v>596</v>
      </c>
      <c r="F1595" s="985"/>
      <c r="G1595" s="973"/>
      <c r="H1595" s="973"/>
      <c r="I1595" s="973"/>
      <c r="J1595" s="973"/>
      <c r="K1595" s="383"/>
      <c r="L1595" s="955"/>
      <c r="M1595" s="955"/>
      <c r="N1595" s="983">
        <v>139114.64000000001</v>
      </c>
      <c r="O1595" s="981"/>
      <c r="P1595" s="772"/>
      <c r="Q1595" s="812"/>
      <c r="R1595" s="953"/>
    </row>
    <row r="1596" spans="1:18" s="440" customFormat="1" ht="57" customHeight="1">
      <c r="A1596" s="984"/>
      <c r="B1596" s="972"/>
      <c r="C1596" s="450"/>
      <c r="D1596" s="438"/>
      <c r="E1596" s="954" t="s">
        <v>597</v>
      </c>
      <c r="F1596" s="985"/>
      <c r="G1596" s="973"/>
      <c r="H1596" s="973"/>
      <c r="I1596" s="973"/>
      <c r="J1596" s="973"/>
      <c r="K1596" s="383"/>
      <c r="L1596" s="955"/>
      <c r="M1596" s="955"/>
      <c r="N1596" s="983">
        <v>47766</v>
      </c>
      <c r="O1596" s="981"/>
      <c r="P1596" s="772"/>
      <c r="Q1596" s="812"/>
      <c r="R1596" s="953"/>
    </row>
    <row r="1597" spans="1:18" s="440" customFormat="1" ht="43.5" customHeight="1">
      <c r="A1597" s="984"/>
      <c r="B1597" s="972"/>
      <c r="C1597" s="450"/>
      <c r="D1597" s="438"/>
      <c r="E1597" s="954" t="s">
        <v>435</v>
      </c>
      <c r="F1597" s="985"/>
      <c r="G1597" s="973"/>
      <c r="H1597" s="973"/>
      <c r="I1597" s="973"/>
      <c r="J1597" s="973"/>
      <c r="K1597" s="383"/>
      <c r="L1597" s="955"/>
      <c r="M1597" s="955"/>
      <c r="N1597" s="983">
        <v>0</v>
      </c>
      <c r="O1597" s="981"/>
      <c r="P1597" s="772"/>
      <c r="Q1597" s="812"/>
      <c r="R1597" s="953"/>
    </row>
    <row r="1598" spans="1:18" s="440" customFormat="1" ht="36" customHeight="1">
      <c r="A1598" s="984"/>
      <c r="B1598" s="972"/>
      <c r="C1598" s="450"/>
      <c r="D1598" s="438"/>
      <c r="E1598" s="954" t="s">
        <v>480</v>
      </c>
      <c r="F1598" s="985"/>
      <c r="G1598" s="973"/>
      <c r="H1598" s="973"/>
      <c r="I1598" s="973"/>
      <c r="J1598" s="973"/>
      <c r="K1598" s="383"/>
      <c r="L1598" s="955"/>
      <c r="M1598" s="955"/>
      <c r="N1598" s="983">
        <v>0</v>
      </c>
      <c r="O1598" s="981"/>
      <c r="P1598" s="772"/>
      <c r="Q1598" s="812"/>
      <c r="R1598" s="953"/>
    </row>
    <row r="1599" spans="1:18" s="440" customFormat="1" ht="36" customHeight="1">
      <c r="A1599" s="984"/>
      <c r="B1599" s="972"/>
      <c r="C1599" s="450"/>
      <c r="D1599" s="438"/>
      <c r="E1599" s="954" t="s">
        <v>534</v>
      </c>
      <c r="F1599" s="985"/>
      <c r="G1599" s="973"/>
      <c r="H1599" s="973"/>
      <c r="I1599" s="973"/>
      <c r="J1599" s="973"/>
      <c r="K1599" s="383"/>
      <c r="L1599" s="955"/>
      <c r="M1599" s="955"/>
      <c r="N1599" s="983">
        <v>0</v>
      </c>
      <c r="O1599" s="981"/>
      <c r="P1599" s="772"/>
      <c r="Q1599" s="812"/>
      <c r="R1599" s="953"/>
    </row>
    <row r="1600" spans="1:18" s="440" customFormat="1" ht="36" customHeight="1">
      <c r="A1600" s="984"/>
      <c r="B1600" s="972"/>
      <c r="C1600" s="450"/>
      <c r="D1600" s="438"/>
      <c r="E1600" s="954" t="s">
        <v>437</v>
      </c>
      <c r="F1600" s="985"/>
      <c r="G1600" s="973"/>
      <c r="H1600" s="973"/>
      <c r="I1600" s="973"/>
      <c r="J1600" s="973"/>
      <c r="K1600" s="383"/>
      <c r="L1600" s="955"/>
      <c r="M1600" s="955"/>
      <c r="N1600" s="983">
        <v>0</v>
      </c>
      <c r="O1600" s="981"/>
      <c r="P1600" s="772"/>
      <c r="Q1600" s="812"/>
      <c r="R1600" s="953"/>
    </row>
    <row r="1601" spans="1:18" s="440" customFormat="1" ht="36" customHeight="1">
      <c r="A1601" s="984"/>
      <c r="B1601" s="972"/>
      <c r="C1601" s="450"/>
      <c r="D1601" s="438"/>
      <c r="E1601" s="954" t="s">
        <v>438</v>
      </c>
      <c r="F1601" s="985"/>
      <c r="G1601" s="973"/>
      <c r="H1601" s="973"/>
      <c r="I1601" s="973"/>
      <c r="J1601" s="973"/>
      <c r="K1601" s="383"/>
      <c r="L1601" s="955"/>
      <c r="M1601" s="955"/>
      <c r="N1601" s="983">
        <v>0</v>
      </c>
      <c r="O1601" s="981"/>
      <c r="P1601" s="772"/>
      <c r="Q1601" s="812"/>
      <c r="R1601" s="953"/>
    </row>
    <row r="1602" spans="1:18" s="440" customFormat="1" ht="36" customHeight="1">
      <c r="A1602" s="984"/>
      <c r="B1602" s="972"/>
      <c r="C1602" s="450"/>
      <c r="D1602" s="438"/>
      <c r="E1602" s="954" t="s">
        <v>539</v>
      </c>
      <c r="F1602" s="985"/>
      <c r="G1602" s="973"/>
      <c r="H1602" s="973"/>
      <c r="I1602" s="973"/>
      <c r="J1602" s="973"/>
      <c r="K1602" s="383"/>
      <c r="L1602" s="955"/>
      <c r="M1602" s="955"/>
      <c r="N1602" s="983">
        <v>345.4</v>
      </c>
      <c r="O1602" s="981"/>
      <c r="P1602" s="772"/>
      <c r="Q1602" s="812"/>
      <c r="R1602" s="953"/>
    </row>
    <row r="1603" spans="1:18" s="440" customFormat="1" ht="36" customHeight="1">
      <c r="A1603" s="984"/>
      <c r="B1603" s="972"/>
      <c r="C1603" s="450"/>
      <c r="D1603" s="438"/>
      <c r="E1603" s="954" t="s">
        <v>439</v>
      </c>
      <c r="F1603" s="985"/>
      <c r="G1603" s="973"/>
      <c r="H1603" s="973"/>
      <c r="I1603" s="973"/>
      <c r="J1603" s="973"/>
      <c r="K1603" s="383"/>
      <c r="L1603" s="955"/>
      <c r="M1603" s="955"/>
      <c r="N1603" s="983">
        <v>11336.4</v>
      </c>
      <c r="O1603" s="981"/>
      <c r="P1603" s="772"/>
      <c r="Q1603" s="812"/>
      <c r="R1603" s="953"/>
    </row>
    <row r="1604" spans="1:18" s="440" customFormat="1" ht="36" customHeight="1">
      <c r="A1604" s="984"/>
      <c r="B1604" s="972"/>
      <c r="C1604" s="450"/>
      <c r="D1604" s="438"/>
      <c r="E1604" s="954" t="s">
        <v>440</v>
      </c>
      <c r="F1604" s="985"/>
      <c r="G1604" s="973"/>
      <c r="H1604" s="973"/>
      <c r="I1604" s="973"/>
      <c r="J1604" s="973"/>
      <c r="K1604" s="383"/>
      <c r="L1604" s="955"/>
      <c r="M1604" s="955"/>
      <c r="N1604" s="983">
        <v>0</v>
      </c>
      <c r="O1604" s="981"/>
      <c r="P1604" s="772"/>
      <c r="Q1604" s="812"/>
      <c r="R1604" s="953"/>
    </row>
    <row r="1605" spans="1:18" s="440" customFormat="1" ht="36" customHeight="1">
      <c r="A1605" s="984"/>
      <c r="B1605" s="972"/>
      <c r="C1605" s="450"/>
      <c r="D1605" s="438"/>
      <c r="E1605" s="954" t="s">
        <v>441</v>
      </c>
      <c r="F1605" s="985"/>
      <c r="G1605" s="973"/>
      <c r="H1605" s="973"/>
      <c r="I1605" s="973"/>
      <c r="J1605" s="973"/>
      <c r="K1605" s="383"/>
      <c r="L1605" s="955"/>
      <c r="M1605" s="955"/>
      <c r="N1605" s="983">
        <v>0</v>
      </c>
      <c r="O1605" s="981"/>
      <c r="P1605" s="772"/>
      <c r="Q1605" s="812"/>
      <c r="R1605" s="953"/>
    </row>
    <row r="1606" spans="1:18" s="440" customFormat="1" ht="42.75" customHeight="1">
      <c r="A1606" s="984"/>
      <c r="B1606" s="972"/>
      <c r="C1606" s="450"/>
      <c r="D1606" s="438"/>
      <c r="E1606" s="954" t="s">
        <v>491</v>
      </c>
      <c r="F1606" s="985"/>
      <c r="G1606" s="973"/>
      <c r="H1606" s="973"/>
      <c r="I1606" s="973"/>
      <c r="J1606" s="973"/>
      <c r="K1606" s="383"/>
      <c r="L1606" s="955"/>
      <c r="M1606" s="955"/>
      <c r="N1606" s="983">
        <v>0</v>
      </c>
      <c r="O1606" s="981"/>
      <c r="P1606" s="772"/>
      <c r="Q1606" s="812"/>
      <c r="R1606" s="953"/>
    </row>
    <row r="1607" spans="1:18" s="440" customFormat="1" ht="36" customHeight="1">
      <c r="A1607" s="984"/>
      <c r="B1607" s="972"/>
      <c r="C1607" s="450"/>
      <c r="D1607" s="438"/>
      <c r="E1607" s="954" t="s">
        <v>442</v>
      </c>
      <c r="F1607" s="985"/>
      <c r="G1607" s="973"/>
      <c r="H1607" s="973"/>
      <c r="I1607" s="973"/>
      <c r="J1607" s="973"/>
      <c r="K1607" s="383"/>
      <c r="L1607" s="955"/>
      <c r="M1607" s="955"/>
      <c r="N1607" s="983">
        <v>0</v>
      </c>
      <c r="O1607" s="981"/>
      <c r="P1607" s="772"/>
      <c r="Q1607" s="812"/>
      <c r="R1607" s="953"/>
    </row>
    <row r="1608" spans="1:18" s="440" customFormat="1" ht="36" customHeight="1">
      <c r="A1608" s="984"/>
      <c r="B1608" s="972"/>
      <c r="C1608" s="450"/>
      <c r="D1608" s="438"/>
      <c r="E1608" s="954" t="s">
        <v>443</v>
      </c>
      <c r="F1608" s="985"/>
      <c r="G1608" s="973"/>
      <c r="H1608" s="973"/>
      <c r="I1608" s="973"/>
      <c r="J1608" s="973"/>
      <c r="K1608" s="383"/>
      <c r="L1608" s="955"/>
      <c r="M1608" s="955"/>
      <c r="N1608" s="983">
        <v>26083.66</v>
      </c>
      <c r="O1608" s="981"/>
      <c r="P1608" s="772"/>
      <c r="Q1608" s="812"/>
      <c r="R1608" s="953"/>
    </row>
    <row r="1609" spans="1:18" s="440" customFormat="1" ht="36" customHeight="1">
      <c r="A1609" s="984"/>
      <c r="B1609" s="972"/>
      <c r="C1609" s="450"/>
      <c r="D1609" s="438"/>
      <c r="E1609" s="954" t="s">
        <v>482</v>
      </c>
      <c r="F1609" s="985"/>
      <c r="G1609" s="973"/>
      <c r="H1609" s="973"/>
      <c r="I1609" s="973"/>
      <c r="J1609" s="973"/>
      <c r="K1609" s="383"/>
      <c r="L1609" s="955"/>
      <c r="M1609" s="955"/>
      <c r="N1609" s="983">
        <v>0</v>
      </c>
      <c r="O1609" s="981"/>
      <c r="P1609" s="772"/>
      <c r="Q1609" s="812"/>
      <c r="R1609" s="953"/>
    </row>
    <row r="1610" spans="1:18" s="440" customFormat="1" ht="36" customHeight="1">
      <c r="A1610" s="984"/>
      <c r="B1610" s="972"/>
      <c r="C1610" s="450"/>
      <c r="D1610" s="438"/>
      <c r="E1610" s="954" t="s">
        <v>445</v>
      </c>
      <c r="F1610" s="985"/>
      <c r="G1610" s="973"/>
      <c r="H1610" s="973"/>
      <c r="I1610" s="973"/>
      <c r="J1610" s="973"/>
      <c r="K1610" s="383"/>
      <c r="L1610" s="955"/>
      <c r="M1610" s="955"/>
      <c r="N1610" s="983">
        <v>0</v>
      </c>
      <c r="O1610" s="981"/>
      <c r="P1610" s="772"/>
      <c r="Q1610" s="812"/>
      <c r="R1610" s="953"/>
    </row>
    <row r="1611" spans="1:18" s="440" customFormat="1" ht="36" customHeight="1">
      <c r="A1611" s="984"/>
      <c r="B1611" s="972"/>
      <c r="C1611" s="450"/>
      <c r="D1611" s="438"/>
      <c r="E1611" s="954" t="s">
        <v>446</v>
      </c>
      <c r="F1611" s="985"/>
      <c r="G1611" s="973"/>
      <c r="H1611" s="973"/>
      <c r="I1611" s="973"/>
      <c r="J1611" s="973"/>
      <c r="K1611" s="383"/>
      <c r="L1611" s="955"/>
      <c r="M1611" s="955"/>
      <c r="N1611" s="983">
        <v>33479.06</v>
      </c>
      <c r="O1611" s="981"/>
      <c r="P1611" s="772"/>
      <c r="Q1611" s="812"/>
      <c r="R1611" s="953"/>
    </row>
    <row r="1612" spans="1:18" s="440" customFormat="1" ht="57" customHeight="1">
      <c r="A1612" s="984"/>
      <c r="B1612" s="972"/>
      <c r="C1612" s="986"/>
      <c r="D1612" s="438"/>
      <c r="E1612" s="945" t="s">
        <v>418</v>
      </c>
      <c r="F1612" s="949">
        <v>117300</v>
      </c>
      <c r="G1612" s="949">
        <v>111778</v>
      </c>
      <c r="H1612" s="949">
        <v>74715.13</v>
      </c>
      <c r="I1612" s="973"/>
      <c r="J1612" s="973"/>
      <c r="K1612" s="529"/>
      <c r="L1612" s="949">
        <v>23000</v>
      </c>
      <c r="M1612" s="949">
        <v>23000</v>
      </c>
      <c r="N1612" s="977">
        <f>SUM(N1613:N1633)</f>
        <v>15730.2</v>
      </c>
      <c r="O1612" s="978">
        <f>N1612/M1612</f>
        <v>0.68392173913043486</v>
      </c>
      <c r="P1612" s="772" t="s">
        <v>395</v>
      </c>
      <c r="Q1612" s="812"/>
      <c r="R1612" s="953"/>
    </row>
    <row r="1613" spans="1:18" s="440" customFormat="1" ht="57.75" customHeight="1">
      <c r="A1613" s="984"/>
      <c r="B1613" s="972"/>
      <c r="C1613" s="450"/>
      <c r="D1613" s="438"/>
      <c r="E1613" s="957" t="s">
        <v>447</v>
      </c>
      <c r="F1613" s="958"/>
      <c r="G1613" s="958"/>
      <c r="H1613" s="958">
        <v>0</v>
      </c>
      <c r="I1613" s="973"/>
      <c r="J1613" s="973"/>
      <c r="K1613" s="529"/>
      <c r="L1613" s="958"/>
      <c r="M1613" s="958"/>
      <c r="N1613" s="983">
        <v>16.8</v>
      </c>
      <c r="O1613" s="981"/>
      <c r="P1613" s="772"/>
      <c r="Q1613" s="812"/>
      <c r="R1613" s="953"/>
    </row>
    <row r="1614" spans="1:18" s="440" customFormat="1" ht="36" customHeight="1">
      <c r="A1614" s="984"/>
      <c r="B1614" s="972"/>
      <c r="C1614" s="450"/>
      <c r="D1614" s="438"/>
      <c r="E1614" s="957" t="s">
        <v>448</v>
      </c>
      <c r="F1614" s="958"/>
      <c r="G1614" s="958"/>
      <c r="H1614" s="958">
        <v>0</v>
      </c>
      <c r="I1614" s="973"/>
      <c r="J1614" s="973"/>
      <c r="K1614" s="529"/>
      <c r="L1614" s="958"/>
      <c r="M1614" s="958"/>
      <c r="N1614" s="983">
        <v>0</v>
      </c>
      <c r="O1614" s="981"/>
      <c r="P1614" s="772"/>
      <c r="Q1614" s="812"/>
      <c r="R1614" s="953"/>
    </row>
    <row r="1615" spans="1:18" s="440" customFormat="1" ht="36" customHeight="1">
      <c r="A1615" s="984"/>
      <c r="B1615" s="972"/>
      <c r="C1615" s="450"/>
      <c r="D1615" s="438"/>
      <c r="E1615" s="957" t="s">
        <v>449</v>
      </c>
      <c r="F1615" s="958"/>
      <c r="G1615" s="958"/>
      <c r="H1615" s="958">
        <v>0</v>
      </c>
      <c r="I1615" s="973"/>
      <c r="J1615" s="973"/>
      <c r="K1615" s="529"/>
      <c r="L1615" s="958"/>
      <c r="M1615" s="958"/>
      <c r="N1615" s="983">
        <v>0</v>
      </c>
      <c r="O1615" s="981"/>
      <c r="P1615" s="772"/>
      <c r="Q1615" s="812"/>
      <c r="R1615" s="953"/>
    </row>
    <row r="1616" spans="1:18" s="440" customFormat="1" ht="36" customHeight="1">
      <c r="A1616" s="984"/>
      <c r="B1616" s="972"/>
      <c r="C1616" s="450"/>
      <c r="D1616" s="438"/>
      <c r="E1616" s="957" t="s">
        <v>450</v>
      </c>
      <c r="F1616" s="958"/>
      <c r="G1616" s="958"/>
      <c r="H1616" s="958">
        <v>0</v>
      </c>
      <c r="I1616" s="973"/>
      <c r="J1616" s="973"/>
      <c r="K1616" s="529"/>
      <c r="L1616" s="958"/>
      <c r="M1616" s="958"/>
      <c r="N1616" s="983">
        <v>0</v>
      </c>
      <c r="O1616" s="981"/>
      <c r="P1616" s="772"/>
      <c r="Q1616" s="812"/>
      <c r="R1616" s="953"/>
    </row>
    <row r="1617" spans="1:18" s="440" customFormat="1" ht="36" customHeight="1">
      <c r="A1617" s="984"/>
      <c r="B1617" s="972"/>
      <c r="C1617" s="450"/>
      <c r="D1617" s="438"/>
      <c r="E1617" s="957" t="s">
        <v>451</v>
      </c>
      <c r="F1617" s="958"/>
      <c r="G1617" s="958"/>
      <c r="H1617" s="958">
        <v>0</v>
      </c>
      <c r="I1617" s="973"/>
      <c r="J1617" s="973"/>
      <c r="K1617" s="529"/>
      <c r="L1617" s="958"/>
      <c r="M1617" s="958"/>
      <c r="N1617" s="983">
        <v>0</v>
      </c>
      <c r="O1617" s="981"/>
      <c r="P1617" s="772"/>
      <c r="Q1617" s="812"/>
      <c r="R1617" s="953"/>
    </row>
    <row r="1618" spans="1:18" s="440" customFormat="1" ht="36" customHeight="1">
      <c r="A1618" s="984"/>
      <c r="B1618" s="972"/>
      <c r="C1618" s="450"/>
      <c r="D1618" s="438"/>
      <c r="E1618" s="960" t="s">
        <v>486</v>
      </c>
      <c r="F1618" s="958"/>
      <c r="G1618" s="958"/>
      <c r="H1618" s="958">
        <v>4300</v>
      </c>
      <c r="I1618" s="973"/>
      <c r="J1618" s="973"/>
      <c r="K1618" s="529"/>
      <c r="L1618" s="958"/>
      <c r="M1618" s="958"/>
      <c r="N1618" s="983">
        <v>0</v>
      </c>
      <c r="O1618" s="981"/>
      <c r="P1618" s="772"/>
      <c r="Q1618" s="812"/>
      <c r="R1618" s="953"/>
    </row>
    <row r="1619" spans="1:18" s="440" customFormat="1" ht="84" customHeight="1">
      <c r="A1619" s="984"/>
      <c r="B1619" s="972"/>
      <c r="C1619" s="450"/>
      <c r="D1619" s="438"/>
      <c r="E1619" s="957" t="s">
        <v>452</v>
      </c>
      <c r="F1619" s="958"/>
      <c r="G1619" s="958"/>
      <c r="H1619" s="958">
        <v>0</v>
      </c>
      <c r="I1619" s="973"/>
      <c r="J1619" s="973"/>
      <c r="K1619" s="529"/>
      <c r="L1619" s="958"/>
      <c r="M1619" s="958"/>
      <c r="N1619" s="983">
        <v>0</v>
      </c>
      <c r="O1619" s="981"/>
      <c r="P1619" s="772"/>
      <c r="Q1619" s="812"/>
      <c r="R1619" s="953"/>
    </row>
    <row r="1620" spans="1:18" s="440" customFormat="1" ht="54.75" customHeight="1">
      <c r="A1620" s="984"/>
      <c r="B1620" s="972"/>
      <c r="C1620" s="450"/>
      <c r="D1620" s="438"/>
      <c r="E1620" s="957" t="s">
        <v>453</v>
      </c>
      <c r="F1620" s="958"/>
      <c r="G1620" s="958"/>
      <c r="H1620" s="958">
        <v>0</v>
      </c>
      <c r="I1620" s="973"/>
      <c r="J1620" s="973"/>
      <c r="K1620" s="529"/>
      <c r="L1620" s="958"/>
      <c r="M1620" s="958"/>
      <c r="N1620" s="983">
        <v>0</v>
      </c>
      <c r="O1620" s="981"/>
      <c r="P1620" s="772"/>
      <c r="Q1620" s="812"/>
      <c r="R1620" s="953"/>
    </row>
    <row r="1621" spans="1:18" s="440" customFormat="1" ht="36" customHeight="1">
      <c r="A1621" s="984"/>
      <c r="B1621" s="972"/>
      <c r="C1621" s="450"/>
      <c r="D1621" s="438"/>
      <c r="E1621" s="957" t="s">
        <v>454</v>
      </c>
      <c r="F1621" s="958"/>
      <c r="G1621" s="958"/>
      <c r="H1621" s="958">
        <v>0</v>
      </c>
      <c r="I1621" s="973"/>
      <c r="J1621" s="973"/>
      <c r="K1621" s="529"/>
      <c r="L1621" s="958"/>
      <c r="M1621" s="958"/>
      <c r="N1621" s="983">
        <v>0</v>
      </c>
      <c r="O1621" s="981"/>
      <c r="P1621" s="772"/>
      <c r="Q1621" s="812"/>
      <c r="R1621" s="953"/>
    </row>
    <row r="1622" spans="1:18" s="440" customFormat="1" ht="54.75" customHeight="1">
      <c r="A1622" s="984"/>
      <c r="B1622" s="972"/>
      <c r="C1622" s="450"/>
      <c r="D1622" s="438"/>
      <c r="E1622" s="957" t="s">
        <v>455</v>
      </c>
      <c r="F1622" s="958"/>
      <c r="G1622" s="958"/>
      <c r="H1622" s="958">
        <v>0</v>
      </c>
      <c r="I1622" s="973"/>
      <c r="J1622" s="973"/>
      <c r="K1622" s="529"/>
      <c r="L1622" s="958"/>
      <c r="M1622" s="958"/>
      <c r="N1622" s="983">
        <v>0</v>
      </c>
      <c r="O1622" s="981"/>
      <c r="P1622" s="772"/>
      <c r="Q1622" s="812"/>
      <c r="R1622" s="953"/>
    </row>
    <row r="1623" spans="1:18" s="440" customFormat="1" ht="36" customHeight="1">
      <c r="A1623" s="984"/>
      <c r="B1623" s="972"/>
      <c r="C1623" s="450"/>
      <c r="D1623" s="438"/>
      <c r="E1623" s="957" t="s">
        <v>456</v>
      </c>
      <c r="F1623" s="958"/>
      <c r="G1623" s="958"/>
      <c r="H1623" s="958">
        <v>0</v>
      </c>
      <c r="I1623" s="973"/>
      <c r="J1623" s="973"/>
      <c r="K1623" s="529"/>
      <c r="L1623" s="958"/>
      <c r="M1623" s="958"/>
      <c r="N1623" s="983">
        <v>713.4</v>
      </c>
      <c r="O1623" s="981"/>
      <c r="P1623" s="772"/>
      <c r="Q1623" s="812"/>
      <c r="R1623" s="953"/>
    </row>
    <row r="1624" spans="1:18" s="440" customFormat="1" ht="54.75" customHeight="1">
      <c r="A1624" s="984"/>
      <c r="B1624" s="972"/>
      <c r="C1624" s="450"/>
      <c r="D1624" s="438"/>
      <c r="E1624" s="957" t="s">
        <v>457</v>
      </c>
      <c r="F1624" s="958"/>
      <c r="G1624" s="958"/>
      <c r="H1624" s="958">
        <v>0</v>
      </c>
      <c r="I1624" s="973"/>
      <c r="J1624" s="973"/>
      <c r="K1624" s="529"/>
      <c r="L1624" s="958"/>
      <c r="M1624" s="958"/>
      <c r="N1624" s="983">
        <v>0</v>
      </c>
      <c r="O1624" s="981"/>
      <c r="P1624" s="772"/>
      <c r="Q1624" s="812"/>
      <c r="R1624" s="953"/>
    </row>
    <row r="1625" spans="1:18" s="440" customFormat="1" ht="36" customHeight="1">
      <c r="A1625" s="984"/>
      <c r="B1625" s="972"/>
      <c r="C1625" s="450"/>
      <c r="D1625" s="438"/>
      <c r="E1625" s="957" t="s">
        <v>458</v>
      </c>
      <c r="F1625" s="961"/>
      <c r="G1625" s="961"/>
      <c r="H1625" s="958">
        <v>32231.32</v>
      </c>
      <c r="I1625" s="973"/>
      <c r="J1625" s="973"/>
      <c r="K1625" s="529"/>
      <c r="L1625" s="961"/>
      <c r="M1625" s="961"/>
      <c r="N1625" s="983">
        <v>0</v>
      </c>
      <c r="O1625" s="981"/>
      <c r="P1625" s="772"/>
      <c r="Q1625" s="812"/>
      <c r="R1625" s="953"/>
    </row>
    <row r="1626" spans="1:18" s="440" customFormat="1" ht="36" customHeight="1">
      <c r="A1626" s="984"/>
      <c r="B1626" s="972"/>
      <c r="C1626" s="450"/>
      <c r="D1626" s="438"/>
      <c r="E1626" s="957" t="s">
        <v>459</v>
      </c>
      <c r="F1626" s="961"/>
      <c r="G1626" s="961"/>
      <c r="H1626" s="958">
        <v>0</v>
      </c>
      <c r="I1626" s="973"/>
      <c r="J1626" s="973"/>
      <c r="K1626" s="529"/>
      <c r="L1626" s="961"/>
      <c r="M1626" s="961"/>
      <c r="N1626" s="983">
        <v>0</v>
      </c>
      <c r="O1626" s="981"/>
      <c r="P1626" s="772"/>
      <c r="Q1626" s="812"/>
      <c r="R1626" s="953"/>
    </row>
    <row r="1627" spans="1:18" s="440" customFormat="1" ht="36" customHeight="1">
      <c r="A1627" s="984"/>
      <c r="B1627" s="972"/>
      <c r="C1627" s="450"/>
      <c r="D1627" s="438"/>
      <c r="E1627" s="957" t="s">
        <v>460</v>
      </c>
      <c r="F1627" s="961"/>
      <c r="G1627" s="961"/>
      <c r="H1627" s="958">
        <v>692</v>
      </c>
      <c r="I1627" s="973"/>
      <c r="J1627" s="973"/>
      <c r="K1627" s="529"/>
      <c r="L1627" s="961"/>
      <c r="M1627" s="961"/>
      <c r="N1627" s="983">
        <v>0</v>
      </c>
      <c r="O1627" s="981"/>
      <c r="P1627" s="772"/>
      <c r="Q1627" s="812"/>
      <c r="R1627" s="953"/>
    </row>
    <row r="1628" spans="1:18" s="440" customFormat="1" ht="36" customHeight="1">
      <c r="A1628" s="984"/>
      <c r="B1628" s="972"/>
      <c r="C1628" s="450"/>
      <c r="D1628" s="438"/>
      <c r="E1628" s="957" t="s">
        <v>461</v>
      </c>
      <c r="F1628" s="961"/>
      <c r="G1628" s="961"/>
      <c r="H1628" s="958">
        <v>35817</v>
      </c>
      <c r="I1628" s="973"/>
      <c r="J1628" s="973"/>
      <c r="K1628" s="529"/>
      <c r="L1628" s="961"/>
      <c r="M1628" s="961"/>
      <c r="N1628" s="983">
        <v>15000</v>
      </c>
      <c r="O1628" s="981"/>
      <c r="P1628" s="772"/>
      <c r="Q1628" s="812"/>
      <c r="R1628" s="953"/>
    </row>
    <row r="1629" spans="1:18" s="440" customFormat="1" ht="36" customHeight="1">
      <c r="A1629" s="984"/>
      <c r="B1629" s="972"/>
      <c r="C1629" s="450"/>
      <c r="D1629" s="438"/>
      <c r="E1629" s="957" t="s">
        <v>462</v>
      </c>
      <c r="F1629" s="961"/>
      <c r="G1629" s="961"/>
      <c r="H1629" s="958">
        <v>0</v>
      </c>
      <c r="I1629" s="973"/>
      <c r="J1629" s="973"/>
      <c r="K1629" s="529"/>
      <c r="L1629" s="961"/>
      <c r="M1629" s="961"/>
      <c r="N1629" s="983">
        <v>0</v>
      </c>
      <c r="O1629" s="981"/>
      <c r="P1629" s="772"/>
      <c r="Q1629" s="812"/>
      <c r="R1629" s="953"/>
    </row>
    <row r="1630" spans="1:18" s="440" customFormat="1" ht="57.75" customHeight="1">
      <c r="A1630" s="984"/>
      <c r="B1630" s="972"/>
      <c r="C1630" s="450"/>
      <c r="D1630" s="438"/>
      <c r="E1630" s="957" t="s">
        <v>463</v>
      </c>
      <c r="F1630" s="961"/>
      <c r="G1630" s="961"/>
      <c r="H1630" s="958">
        <v>0</v>
      </c>
      <c r="I1630" s="973"/>
      <c r="J1630" s="973"/>
      <c r="K1630" s="529"/>
      <c r="L1630" s="961"/>
      <c r="M1630" s="961"/>
      <c r="N1630" s="983">
        <v>0</v>
      </c>
      <c r="O1630" s="981"/>
      <c r="P1630" s="772"/>
      <c r="Q1630" s="812"/>
      <c r="R1630" s="953"/>
    </row>
    <row r="1631" spans="1:18" s="440" customFormat="1" ht="36" customHeight="1">
      <c r="A1631" s="984"/>
      <c r="B1631" s="972"/>
      <c r="C1631" s="450"/>
      <c r="D1631" s="438"/>
      <c r="E1631" s="957" t="s">
        <v>464</v>
      </c>
      <c r="F1631" s="961"/>
      <c r="G1631" s="961"/>
      <c r="H1631" s="958">
        <v>0</v>
      </c>
      <c r="I1631" s="973"/>
      <c r="J1631" s="973"/>
      <c r="K1631" s="529"/>
      <c r="L1631" s="961"/>
      <c r="M1631" s="961"/>
      <c r="N1631" s="983">
        <v>0</v>
      </c>
      <c r="O1631" s="981"/>
      <c r="P1631" s="772"/>
      <c r="Q1631" s="812"/>
      <c r="R1631" s="953"/>
    </row>
    <row r="1632" spans="1:18" s="440" customFormat="1" ht="36" customHeight="1">
      <c r="A1632" s="984"/>
      <c r="B1632" s="972"/>
      <c r="C1632" s="450"/>
      <c r="D1632" s="438"/>
      <c r="E1632" s="957" t="s">
        <v>465</v>
      </c>
      <c r="F1632" s="961"/>
      <c r="G1632" s="961"/>
      <c r="H1632" s="958">
        <v>0</v>
      </c>
      <c r="I1632" s="973"/>
      <c r="J1632" s="973"/>
      <c r="K1632" s="529"/>
      <c r="L1632" s="961"/>
      <c r="M1632" s="961"/>
      <c r="N1632" s="983">
        <v>0</v>
      </c>
      <c r="O1632" s="981"/>
      <c r="P1632" s="772"/>
      <c r="Q1632" s="812"/>
      <c r="R1632" s="953"/>
    </row>
    <row r="1633" spans="1:18" s="440" customFormat="1" ht="36" customHeight="1">
      <c r="A1633" s="984"/>
      <c r="B1633" s="972"/>
      <c r="C1633" s="450"/>
      <c r="D1633" s="438"/>
      <c r="E1633" s="957" t="s">
        <v>466</v>
      </c>
      <c r="F1633" s="961"/>
      <c r="G1633" s="961"/>
      <c r="H1633" s="958">
        <v>1674.81</v>
      </c>
      <c r="I1633" s="973"/>
      <c r="J1633" s="973"/>
      <c r="K1633" s="529"/>
      <c r="L1633" s="961"/>
      <c r="M1633" s="961"/>
      <c r="N1633" s="983">
        <v>0</v>
      </c>
      <c r="O1633" s="981"/>
      <c r="P1633" s="772"/>
      <c r="Q1633" s="812"/>
      <c r="R1633" s="953"/>
    </row>
    <row r="1634" spans="1:18" s="440" customFormat="1" ht="57" customHeight="1">
      <c r="A1634" s="984"/>
      <c r="B1634" s="972"/>
      <c r="C1634" s="1007"/>
      <c r="D1634" s="1008"/>
      <c r="E1634" s="1009" t="s">
        <v>467</v>
      </c>
      <c r="F1634" s="1010">
        <v>117300</v>
      </c>
      <c r="G1634" s="1010">
        <v>111778</v>
      </c>
      <c r="H1634" s="1010">
        <v>74715.13</v>
      </c>
      <c r="I1634" s="1011"/>
      <c r="J1634" s="1011"/>
      <c r="K1634" s="1012"/>
      <c r="L1634" s="1010">
        <v>0</v>
      </c>
      <c r="M1634" s="1010">
        <v>0</v>
      </c>
      <c r="N1634" s="1010">
        <v>0</v>
      </c>
      <c r="O1634" s="1013">
        <v>0</v>
      </c>
      <c r="P1634" s="772" t="s">
        <v>395</v>
      </c>
      <c r="Q1634" s="812"/>
      <c r="R1634" s="953"/>
    </row>
    <row r="1635" spans="1:18" s="174" customFormat="1" ht="51" customHeight="1">
      <c r="A1635" s="429"/>
      <c r="B1635" s="75">
        <v>85404</v>
      </c>
      <c r="C1635" s="74"/>
      <c r="D1635" s="176"/>
      <c r="E1635" s="385" t="s">
        <v>335</v>
      </c>
      <c r="F1635" s="409">
        <f>SUM(F1636:F1639)</f>
        <v>0</v>
      </c>
      <c r="G1635" s="409">
        <f t="shared" ref="G1635:N1635" si="158">SUM(G1636:G1639)</f>
        <v>0</v>
      </c>
      <c r="H1635" s="409">
        <f t="shared" si="158"/>
        <v>0</v>
      </c>
      <c r="I1635" s="409">
        <f t="shared" si="158"/>
        <v>0</v>
      </c>
      <c r="J1635" s="409">
        <f t="shared" si="158"/>
        <v>0</v>
      </c>
      <c r="K1635" s="409">
        <f t="shared" si="158"/>
        <v>79000</v>
      </c>
      <c r="L1635" s="92">
        <f t="shared" si="158"/>
        <v>79000</v>
      </c>
      <c r="M1635" s="92">
        <f t="shared" si="158"/>
        <v>84900</v>
      </c>
      <c r="N1635" s="92">
        <f t="shared" si="158"/>
        <v>42177.549999999996</v>
      </c>
      <c r="O1635" s="755">
        <f t="shared" ref="O1635:O1642" si="159">N1635/M1635</f>
        <v>0.49679093050647816</v>
      </c>
      <c r="P1635" s="788" t="s">
        <v>395</v>
      </c>
      <c r="Q1635" s="671"/>
    </row>
    <row r="1636" spans="1:18" s="434" customFormat="1" ht="69.75" customHeight="1">
      <c r="A1636" s="559"/>
      <c r="B1636" s="471"/>
      <c r="C1636" s="560">
        <v>1</v>
      </c>
      <c r="D1636" s="561"/>
      <c r="E1636" s="562" t="s">
        <v>298</v>
      </c>
      <c r="F1636" s="563"/>
      <c r="G1636" s="563"/>
      <c r="H1636" s="563"/>
      <c r="I1636" s="563"/>
      <c r="J1636" s="563"/>
      <c r="K1636" s="565">
        <v>50000</v>
      </c>
      <c r="L1636" s="564">
        <f t="shared" ref="L1636:L1639" si="160">SUM(F1636:K1636)</f>
        <v>50000</v>
      </c>
      <c r="M1636" s="564">
        <v>55500</v>
      </c>
      <c r="N1636" s="564">
        <v>30569.05</v>
      </c>
      <c r="O1636" s="763">
        <f t="shared" si="159"/>
        <v>0.55079369369369369</v>
      </c>
      <c r="P1636" s="765" t="s">
        <v>395</v>
      </c>
      <c r="Q1636" s="651"/>
    </row>
    <row r="1637" spans="1:18" s="434" customFormat="1" ht="69.75" customHeight="1">
      <c r="A1637" s="559"/>
      <c r="B1637" s="471"/>
      <c r="C1637" s="560">
        <v>2</v>
      </c>
      <c r="D1637" s="561"/>
      <c r="E1637" s="562" t="s">
        <v>188</v>
      </c>
      <c r="F1637" s="563"/>
      <c r="G1637" s="563"/>
      <c r="H1637" s="563"/>
      <c r="I1637" s="563"/>
      <c r="J1637" s="563"/>
      <c r="K1637" s="565">
        <v>20000</v>
      </c>
      <c r="L1637" s="564">
        <f t="shared" si="160"/>
        <v>20000</v>
      </c>
      <c r="M1637" s="564">
        <v>20000</v>
      </c>
      <c r="N1637" s="564">
        <v>6965.1</v>
      </c>
      <c r="O1637" s="763">
        <f t="shared" si="159"/>
        <v>0.34825500000000004</v>
      </c>
      <c r="P1637" s="765" t="s">
        <v>395</v>
      </c>
      <c r="Q1637" s="651"/>
    </row>
    <row r="1638" spans="1:18" s="434" customFormat="1" ht="69.75" customHeight="1">
      <c r="A1638" s="559"/>
      <c r="B1638" s="471"/>
      <c r="C1638" s="560">
        <v>3</v>
      </c>
      <c r="D1638" s="561"/>
      <c r="E1638" s="562" t="s">
        <v>302</v>
      </c>
      <c r="F1638" s="563"/>
      <c r="G1638" s="563"/>
      <c r="H1638" s="563"/>
      <c r="I1638" s="563"/>
      <c r="J1638" s="563"/>
      <c r="K1638" s="565">
        <v>4500</v>
      </c>
      <c r="L1638" s="564">
        <f t="shared" si="160"/>
        <v>4500</v>
      </c>
      <c r="M1638" s="564">
        <v>4700</v>
      </c>
      <c r="N1638" s="564">
        <v>2321.6999999999998</v>
      </c>
      <c r="O1638" s="763">
        <f t="shared" si="159"/>
        <v>0.4939787234042553</v>
      </c>
      <c r="P1638" s="765" t="s">
        <v>395</v>
      </c>
      <c r="Q1638" s="651"/>
    </row>
    <row r="1639" spans="1:18" s="434" customFormat="1" ht="71.25" customHeight="1">
      <c r="A1639" s="559"/>
      <c r="B1639" s="61"/>
      <c r="C1639" s="453">
        <v>4</v>
      </c>
      <c r="D1639" s="454"/>
      <c r="E1639" s="457" t="s">
        <v>62</v>
      </c>
      <c r="F1639" s="518"/>
      <c r="G1639" s="277"/>
      <c r="H1639" s="277"/>
      <c r="I1639" s="277"/>
      <c r="J1639" s="277"/>
      <c r="K1639" s="451">
        <v>4500</v>
      </c>
      <c r="L1639" s="451">
        <f t="shared" si="160"/>
        <v>4500</v>
      </c>
      <c r="M1639" s="451">
        <v>4700</v>
      </c>
      <c r="N1639" s="451">
        <v>2321.6999999999998</v>
      </c>
      <c r="O1639" s="837">
        <f t="shared" si="159"/>
        <v>0.4939787234042553</v>
      </c>
      <c r="P1639" s="765" t="s">
        <v>395</v>
      </c>
      <c r="Q1639" s="651"/>
    </row>
    <row r="1640" spans="1:18" s="1033" customFormat="1" ht="54.75" customHeight="1">
      <c r="A1640" s="1031"/>
      <c r="B1640" s="75">
        <v>85415</v>
      </c>
      <c r="C1640" s="1032"/>
      <c r="D1640" s="176"/>
      <c r="E1640" s="385" t="s">
        <v>613</v>
      </c>
      <c r="F1640" s="92" t="e">
        <f>#REF!</f>
        <v>#REF!</v>
      </c>
      <c r="G1640" s="92" t="e">
        <f>#REF!</f>
        <v>#REF!</v>
      </c>
      <c r="H1640" s="92" t="e">
        <f>#REF!</f>
        <v>#REF!</v>
      </c>
      <c r="I1640" s="92" t="e">
        <f>#REF!</f>
        <v>#REF!</v>
      </c>
      <c r="J1640" s="92" t="e">
        <f>#REF!</f>
        <v>#REF!</v>
      </c>
      <c r="K1640" s="92" t="e">
        <f>#REF!</f>
        <v>#REF!</v>
      </c>
      <c r="L1640" s="92">
        <v>0</v>
      </c>
      <c r="M1640" s="92">
        <f>M1641</f>
        <v>63750</v>
      </c>
      <c r="N1640" s="92">
        <f>N1641</f>
        <v>55342.66</v>
      </c>
      <c r="O1640" s="755">
        <f t="shared" si="159"/>
        <v>0.86812015686274513</v>
      </c>
      <c r="P1640" s="664" t="s">
        <v>395</v>
      </c>
      <c r="Q1640" s="908"/>
      <c r="R1640" s="664"/>
    </row>
    <row r="1641" spans="1:18" s="1041" customFormat="1" ht="65.25" customHeight="1">
      <c r="A1641" s="1034"/>
      <c r="B1641" s="989"/>
      <c r="C1641" s="1035">
        <v>1</v>
      </c>
      <c r="D1641" s="1036"/>
      <c r="E1641" s="1037" t="s">
        <v>614</v>
      </c>
      <c r="F1641" s="1038">
        <f>F1642</f>
        <v>0</v>
      </c>
      <c r="G1641" s="1038">
        <f t="shared" ref="G1641:N1641" si="161">G1642</f>
        <v>0</v>
      </c>
      <c r="H1641" s="1038">
        <f t="shared" si="161"/>
        <v>0</v>
      </c>
      <c r="I1641" s="1038">
        <f t="shared" si="161"/>
        <v>0</v>
      </c>
      <c r="J1641" s="1038">
        <f t="shared" si="161"/>
        <v>0</v>
      </c>
      <c r="K1641" s="1038">
        <f t="shared" si="161"/>
        <v>0</v>
      </c>
      <c r="L1641" s="1038">
        <f t="shared" si="161"/>
        <v>0</v>
      </c>
      <c r="M1641" s="1038">
        <f t="shared" si="161"/>
        <v>63750</v>
      </c>
      <c r="N1641" s="1038">
        <f t="shared" si="161"/>
        <v>55342.66</v>
      </c>
      <c r="O1641" s="1039">
        <f t="shared" si="159"/>
        <v>0.86812015686274513</v>
      </c>
      <c r="P1641" s="678" t="s">
        <v>395</v>
      </c>
      <c r="Q1641" s="1040"/>
      <c r="R1641" s="678"/>
    </row>
    <row r="1642" spans="1:18" s="1041" customFormat="1" ht="68.25" customHeight="1">
      <c r="A1642" s="1034"/>
      <c r="B1642" s="989"/>
      <c r="C1642" s="1025"/>
      <c r="D1642" s="443"/>
      <c r="E1642" s="1042" t="s">
        <v>615</v>
      </c>
      <c r="F1642" s="1024">
        <v>0</v>
      </c>
      <c r="G1642" s="1043"/>
      <c r="H1642" s="1044"/>
      <c r="I1642" s="1024"/>
      <c r="J1642" s="1044"/>
      <c r="K1642" s="990"/>
      <c r="L1642" s="1024">
        <f>SUM(L1644+L1645)</f>
        <v>0</v>
      </c>
      <c r="M1642" s="1024">
        <f>SUM(M1644+M1645)</f>
        <v>63750</v>
      </c>
      <c r="N1642" s="1024">
        <f>SUM(N1644+N1645)</f>
        <v>55342.66</v>
      </c>
      <c r="O1642" s="1039">
        <f t="shared" si="159"/>
        <v>0.86812015686274513</v>
      </c>
      <c r="P1642" s="678" t="s">
        <v>395</v>
      </c>
      <c r="Q1642" s="1040"/>
      <c r="R1642" s="678"/>
    </row>
    <row r="1643" spans="1:18" s="1041" customFormat="1" ht="36" customHeight="1">
      <c r="A1643" s="1034"/>
      <c r="B1643" s="989"/>
      <c r="C1643" s="60"/>
      <c r="D1643" s="443"/>
      <c r="E1643" s="1045" t="s">
        <v>13</v>
      </c>
      <c r="F1643" s="1024"/>
      <c r="G1643" s="1043"/>
      <c r="H1643" s="1044"/>
      <c r="I1643" s="1024"/>
      <c r="J1643" s="1044"/>
      <c r="K1643" s="990"/>
      <c r="L1643" s="1024"/>
      <c r="M1643" s="1024"/>
      <c r="N1643" s="1046"/>
      <c r="O1643" s="1039"/>
      <c r="P1643" s="678"/>
      <c r="Q1643" s="1040"/>
      <c r="R1643" s="678"/>
    </row>
    <row r="1644" spans="1:18" s="1041" customFormat="1" ht="36" customHeight="1">
      <c r="A1644" s="1034"/>
      <c r="B1644" s="989"/>
      <c r="C1644" s="60"/>
      <c r="D1644" s="443" t="s">
        <v>0</v>
      </c>
      <c r="E1644" s="1045" t="s">
        <v>617</v>
      </c>
      <c r="F1644" s="1024"/>
      <c r="G1644" s="1043"/>
      <c r="H1644" s="1044"/>
      <c r="I1644" s="1024"/>
      <c r="J1644" s="1044"/>
      <c r="K1644" s="990"/>
      <c r="L1644" s="1020">
        <v>0</v>
      </c>
      <c r="M1644" s="1020">
        <v>62750</v>
      </c>
      <c r="N1644" s="1047">
        <v>55042.66</v>
      </c>
      <c r="O1644" s="1048"/>
      <c r="P1644" s="678" t="s">
        <v>395</v>
      </c>
      <c r="Q1644" s="1040"/>
      <c r="R1644" s="678"/>
    </row>
    <row r="1645" spans="1:18" s="1041" customFormat="1" ht="36" customHeight="1">
      <c r="A1645" s="1034"/>
      <c r="B1645" s="989"/>
      <c r="C1645" s="60"/>
      <c r="D1645" s="443" t="s">
        <v>0</v>
      </c>
      <c r="E1645" s="1045" t="s">
        <v>618</v>
      </c>
      <c r="F1645" s="1024"/>
      <c r="G1645" s="1043"/>
      <c r="H1645" s="1044"/>
      <c r="I1645" s="1024"/>
      <c r="J1645" s="1044"/>
      <c r="K1645" s="990"/>
      <c r="L1645" s="1020">
        <v>0</v>
      </c>
      <c r="M1645" s="1020">
        <v>1000</v>
      </c>
      <c r="N1645" s="1047">
        <v>300</v>
      </c>
      <c r="O1645" s="1048"/>
      <c r="P1645" s="678" t="s">
        <v>395</v>
      </c>
      <c r="Q1645" s="1040"/>
      <c r="R1645" s="678"/>
    </row>
    <row r="1646" spans="1:18" s="1041" customFormat="1" ht="36" customHeight="1">
      <c r="A1646" s="1034"/>
      <c r="B1646" s="989"/>
      <c r="C1646" s="60"/>
      <c r="D1646" s="443"/>
      <c r="E1646" s="1265" t="s">
        <v>616</v>
      </c>
      <c r="F1646" s="1265"/>
      <c r="G1646" s="1265"/>
      <c r="H1646" s="1265"/>
      <c r="I1646" s="1265"/>
      <c r="J1646" s="1265"/>
      <c r="K1646" s="1265"/>
      <c r="L1646" s="1265"/>
      <c r="M1646" s="1265"/>
      <c r="N1646" s="1265"/>
      <c r="O1646" s="1266"/>
      <c r="P1646" s="678"/>
      <c r="Q1646" s="1040"/>
      <c r="R1646" s="678"/>
    </row>
    <row r="1647" spans="1:18" s="120" customFormat="1" ht="66" customHeight="1">
      <c r="A1647" s="83">
        <v>16</v>
      </c>
      <c r="B1647" s="82">
        <v>855</v>
      </c>
      <c r="C1647" s="81"/>
      <c r="D1647" s="80"/>
      <c r="E1647" s="122" t="s">
        <v>263</v>
      </c>
      <c r="F1647" s="77" t="e">
        <f t="shared" ref="F1647:K1647" si="162">F1648+F1668+F1711+F1728</f>
        <v>#REF!</v>
      </c>
      <c r="G1647" s="77" t="e">
        <f t="shared" si="162"/>
        <v>#REF!</v>
      </c>
      <c r="H1647" s="77" t="e">
        <f t="shared" si="162"/>
        <v>#REF!</v>
      </c>
      <c r="I1647" s="77" t="e">
        <f t="shared" si="162"/>
        <v>#REF!</v>
      </c>
      <c r="J1647" s="77" t="e">
        <f t="shared" si="162"/>
        <v>#REF!</v>
      </c>
      <c r="K1647" s="77" t="e">
        <f t="shared" si="162"/>
        <v>#REF!</v>
      </c>
      <c r="L1647" s="77">
        <f>L1648+L1668+L1711+L1728+L1708</f>
        <v>18624400</v>
      </c>
      <c r="M1647" s="77">
        <f t="shared" ref="M1647:N1647" si="163">M1648+M1668+M1711+M1728+M1708</f>
        <v>18653200</v>
      </c>
      <c r="N1647" s="77">
        <f t="shared" si="163"/>
        <v>9263010.8499999996</v>
      </c>
      <c r="O1647" s="834">
        <f>N1647/M1647</f>
        <v>0.49659097902772714</v>
      </c>
      <c r="P1647" s="764" t="s">
        <v>395</v>
      </c>
      <c r="Q1647" s="650"/>
    </row>
    <row r="1648" spans="1:18" s="230" customFormat="1" ht="66" customHeight="1">
      <c r="A1648" s="429"/>
      <c r="B1648" s="172">
        <v>85501</v>
      </c>
      <c r="C1648" s="171"/>
      <c r="D1648" s="192"/>
      <c r="E1648" s="191" t="s">
        <v>264</v>
      </c>
      <c r="F1648" s="409" t="e">
        <f>F1649+#REF!</f>
        <v>#REF!</v>
      </c>
      <c r="G1648" s="409" t="e">
        <f>G1649+#REF!</f>
        <v>#REF!</v>
      </c>
      <c r="H1648" s="409" t="e">
        <f>H1649+#REF!</f>
        <v>#REF!</v>
      </c>
      <c r="I1648" s="409" t="e">
        <f>I1649+#REF!</f>
        <v>#REF!</v>
      </c>
      <c r="J1648" s="409" t="e">
        <f>J1649+#REF!</f>
        <v>#REF!</v>
      </c>
      <c r="K1648" s="409" t="e">
        <f>K1649+#REF!</f>
        <v>#REF!</v>
      </c>
      <c r="L1648" s="92">
        <f>L1649</f>
        <v>12147000</v>
      </c>
      <c r="M1648" s="92">
        <f t="shared" ref="M1648:N1648" si="164">M1649</f>
        <v>12137000</v>
      </c>
      <c r="N1648" s="92">
        <f t="shared" si="164"/>
        <v>6004837.9500000002</v>
      </c>
      <c r="O1648" s="755">
        <f>N1648/M1648</f>
        <v>0.49475471286149791</v>
      </c>
      <c r="P1648" s="791" t="s">
        <v>395</v>
      </c>
      <c r="Q1648" s="674"/>
    </row>
    <row r="1649" spans="1:18" s="738" customFormat="1" ht="111" customHeight="1">
      <c r="A1649" s="716"/>
      <c r="B1649" s="712"/>
      <c r="C1649" s="713">
        <v>1</v>
      </c>
      <c r="D1649" s="714"/>
      <c r="E1649" s="708" t="s">
        <v>272</v>
      </c>
      <c r="F1649" s="499">
        <v>12147000</v>
      </c>
      <c r="G1649" s="386"/>
      <c r="H1649" s="386"/>
      <c r="I1649" s="386"/>
      <c r="J1649" s="386"/>
      <c r="K1649" s="386"/>
      <c r="L1649" s="386">
        <f>L1650+L1656+L1659</f>
        <v>12147000</v>
      </c>
      <c r="M1649" s="386">
        <f t="shared" ref="M1649:N1649" si="165">M1650+M1656+M1659</f>
        <v>12137000</v>
      </c>
      <c r="N1649" s="386">
        <f t="shared" si="165"/>
        <v>6004837.9500000002</v>
      </c>
      <c r="O1649" s="851">
        <f>N1649/M1649</f>
        <v>0.49475471286149791</v>
      </c>
      <c r="P1649" s="795" t="s">
        <v>395</v>
      </c>
      <c r="Q1649" s="670"/>
    </row>
    <row r="1650" spans="1:18" s="927" customFormat="1" ht="50.1" customHeight="1">
      <c r="A1650" s="1049"/>
      <c r="B1650" s="918"/>
      <c r="C1650" s="1050"/>
      <c r="D1650" s="920" t="s">
        <v>411</v>
      </c>
      <c r="E1650" s="921" t="s">
        <v>412</v>
      </c>
      <c r="F1650" s="1051">
        <f>100045+11595+59000+2740</f>
        <v>173380</v>
      </c>
      <c r="G1650" s="1051">
        <f>G1651</f>
        <v>0</v>
      </c>
      <c r="H1650" s="1051">
        <f>H1651</f>
        <v>0</v>
      </c>
      <c r="I1650" s="1051">
        <f>I1651</f>
        <v>0</v>
      </c>
      <c r="J1650" s="1051">
        <f>J1651</f>
        <v>0</v>
      </c>
      <c r="K1650" s="1051">
        <f>K1651</f>
        <v>0</v>
      </c>
      <c r="L1650" s="1051">
        <f>SUM(L1652:L1655)</f>
        <v>135908</v>
      </c>
      <c r="M1650" s="1051">
        <f t="shared" ref="M1650:N1650" si="166">SUM(M1652:M1655)</f>
        <v>135908</v>
      </c>
      <c r="N1650" s="1051">
        <f t="shared" si="166"/>
        <v>51304.2</v>
      </c>
      <c r="O1650" s="1052">
        <f t="shared" ref="O1650" si="167">N1650/M1650</f>
        <v>0.37749212702710655</v>
      </c>
      <c r="P1650" s="924" t="s">
        <v>395</v>
      </c>
      <c r="Q1650" s="925"/>
      <c r="R1650" s="926"/>
    </row>
    <row r="1651" spans="1:18" s="1104" customFormat="1" ht="31.5" customHeight="1">
      <c r="A1651" s="1049"/>
      <c r="B1651" s="1097"/>
      <c r="C1651" s="1050"/>
      <c r="D1651" s="920"/>
      <c r="E1651" s="1098" t="s">
        <v>13</v>
      </c>
      <c r="F1651" s="1099"/>
      <c r="G1651" s="1099"/>
      <c r="H1651" s="1099"/>
      <c r="I1651" s="1099"/>
      <c r="J1651" s="1100"/>
      <c r="K1651" s="1100"/>
      <c r="L1651" s="1100"/>
      <c r="M1651" s="1100"/>
      <c r="N1651" s="1100"/>
      <c r="O1651" s="1101"/>
      <c r="P1651" s="1102"/>
      <c r="Q1651" s="1040"/>
      <c r="R1651" s="1103"/>
    </row>
    <row r="1652" spans="1:18" s="941" customFormat="1" ht="62.4" customHeight="1">
      <c r="A1652" s="1053"/>
      <c r="B1652" s="929"/>
      <c r="C1652" s="1054"/>
      <c r="D1652" s="931"/>
      <c r="E1652" s="932" t="s">
        <v>768</v>
      </c>
      <c r="F1652" s="1055"/>
      <c r="G1652" s="1055"/>
      <c r="H1652" s="1055"/>
      <c r="I1652" s="1055"/>
      <c r="J1652" s="1056"/>
      <c r="K1652" s="1056"/>
      <c r="L1652" s="1089">
        <v>97457</v>
      </c>
      <c r="M1652" s="1089">
        <v>97457</v>
      </c>
      <c r="N1652" s="1091">
        <v>33765.85</v>
      </c>
      <c r="O1652" s="1090">
        <f>N1652/M1652</f>
        <v>0.34646921206275588</v>
      </c>
      <c r="P1652" s="938" t="s">
        <v>395</v>
      </c>
      <c r="Q1652" s="939"/>
      <c r="R1652" s="940"/>
    </row>
    <row r="1653" spans="1:18" s="941" customFormat="1" ht="48" customHeight="1">
      <c r="A1653" s="1053"/>
      <c r="B1653" s="929"/>
      <c r="C1653" s="1054"/>
      <c r="D1653" s="931"/>
      <c r="E1653" s="932" t="s">
        <v>629</v>
      </c>
      <c r="F1653" s="1055"/>
      <c r="G1653" s="1055"/>
      <c r="H1653" s="1055"/>
      <c r="I1653" s="1055"/>
      <c r="J1653" s="1056"/>
      <c r="K1653" s="1056"/>
      <c r="L1653" s="1089">
        <v>5610</v>
      </c>
      <c r="M1653" s="1089">
        <v>5610</v>
      </c>
      <c r="N1653" s="1091">
        <v>5609.4</v>
      </c>
      <c r="O1653" s="1090">
        <f>N1653/M1653</f>
        <v>0.99989304812834223</v>
      </c>
      <c r="P1653" s="938" t="s">
        <v>395</v>
      </c>
      <c r="Q1653" s="939"/>
      <c r="R1653" s="940"/>
    </row>
    <row r="1654" spans="1:18" s="941" customFormat="1" ht="48" customHeight="1">
      <c r="A1654" s="1053"/>
      <c r="B1654" s="929"/>
      <c r="C1654" s="1054"/>
      <c r="D1654" s="931"/>
      <c r="E1654" s="932" t="s">
        <v>630</v>
      </c>
      <c r="F1654" s="1055"/>
      <c r="G1654" s="1055"/>
      <c r="H1654" s="1055"/>
      <c r="I1654" s="1055"/>
      <c r="J1654" s="1056"/>
      <c r="K1654" s="1056"/>
      <c r="L1654" s="1089">
        <f>19830+2511</f>
        <v>22341</v>
      </c>
      <c r="M1654" s="1089">
        <f>19830+2511</f>
        <v>22341</v>
      </c>
      <c r="N1654" s="1091">
        <f>7499.16+854.09</f>
        <v>8353.25</v>
      </c>
      <c r="O1654" s="1090">
        <f>N1654/M1654</f>
        <v>0.37389776643838685</v>
      </c>
      <c r="P1654" s="938" t="s">
        <v>395</v>
      </c>
      <c r="Q1654" s="939"/>
      <c r="R1654" s="940"/>
    </row>
    <row r="1655" spans="1:18" s="941" customFormat="1" ht="48" customHeight="1">
      <c r="A1655" s="1053"/>
      <c r="B1655" s="929"/>
      <c r="C1655" s="1054"/>
      <c r="D1655" s="931"/>
      <c r="E1655" s="932" t="s">
        <v>650</v>
      </c>
      <c r="F1655" s="1055"/>
      <c r="G1655" s="1055"/>
      <c r="H1655" s="1055"/>
      <c r="I1655" s="1055"/>
      <c r="J1655" s="1056"/>
      <c r="K1655" s="1056"/>
      <c r="L1655" s="1089">
        <v>10500</v>
      </c>
      <c r="M1655" s="1089">
        <v>10500</v>
      </c>
      <c r="N1655" s="1091">
        <v>3575.7</v>
      </c>
      <c r="O1655" s="1090">
        <f>N1655/M1655</f>
        <v>0.34054285714285715</v>
      </c>
      <c r="P1655" s="938" t="s">
        <v>395</v>
      </c>
      <c r="Q1655" s="939"/>
      <c r="R1655" s="940"/>
    </row>
    <row r="1656" spans="1:18" s="927" customFormat="1" ht="50.1" customHeight="1">
      <c r="A1656" s="1049"/>
      <c r="B1656" s="918"/>
      <c r="C1656" s="1050"/>
      <c r="D1656" s="920" t="s">
        <v>417</v>
      </c>
      <c r="E1656" s="921" t="s">
        <v>651</v>
      </c>
      <c r="F1656" s="1051">
        <v>4866270</v>
      </c>
      <c r="G1656" s="1051" t="e">
        <f>#REF!</f>
        <v>#REF!</v>
      </c>
      <c r="H1656" s="1051" t="e">
        <f>#REF!</f>
        <v>#REF!</v>
      </c>
      <c r="I1656" s="1051" t="e">
        <f>#REF!</f>
        <v>#REF!</v>
      </c>
      <c r="J1656" s="1051" t="e">
        <f>#REF!</f>
        <v>#REF!</v>
      </c>
      <c r="K1656" s="1051" t="e">
        <f>#REF!</f>
        <v>#REF!</v>
      </c>
      <c r="L1656" s="1051">
        <f>L1658</f>
        <v>11967488</v>
      </c>
      <c r="M1656" s="1051">
        <f t="shared" ref="M1656:N1656" si="168">M1658</f>
        <v>11957488</v>
      </c>
      <c r="N1656" s="1051">
        <f t="shared" si="168"/>
        <v>5940444.5999999996</v>
      </c>
      <c r="O1656" s="1052">
        <f>N1656/M1656</f>
        <v>0.4967970363006009</v>
      </c>
      <c r="P1656" s="924" t="s">
        <v>395</v>
      </c>
      <c r="Q1656" s="925"/>
      <c r="R1656" s="926"/>
    </row>
    <row r="1657" spans="1:18" s="1104" customFormat="1" ht="31.5" customHeight="1">
      <c r="A1657" s="1049"/>
      <c r="B1657" s="1097"/>
      <c r="C1657" s="1050"/>
      <c r="D1657" s="920"/>
      <c r="E1657" s="1098" t="s">
        <v>13</v>
      </c>
      <c r="F1657" s="1099"/>
      <c r="G1657" s="1099"/>
      <c r="H1657" s="1099"/>
      <c r="I1657" s="1099"/>
      <c r="J1657" s="1100"/>
      <c r="K1657" s="1100"/>
      <c r="L1657" s="1100"/>
      <c r="M1657" s="1100"/>
      <c r="N1657" s="1100"/>
      <c r="O1657" s="1101"/>
      <c r="P1657" s="1102"/>
      <c r="Q1657" s="1040"/>
      <c r="R1657" s="1103"/>
    </row>
    <row r="1658" spans="1:18" s="1119" customFormat="1" ht="36" customHeight="1">
      <c r="A1658" s="1105"/>
      <c r="B1658" s="1106"/>
      <c r="C1658" s="1107"/>
      <c r="D1658" s="1108" t="s">
        <v>0</v>
      </c>
      <c r="E1658" s="1109" t="s">
        <v>652</v>
      </c>
      <c r="F1658" s="1110"/>
      <c r="G1658" s="1111"/>
      <c r="H1658" s="1110"/>
      <c r="I1658" s="1112">
        <v>620044</v>
      </c>
      <c r="J1658" s="1110"/>
      <c r="K1658" s="1113"/>
      <c r="L1658" s="1114">
        <v>11967488</v>
      </c>
      <c r="M1658" s="1115">
        <v>11957488</v>
      </c>
      <c r="N1658" s="1116">
        <v>5940444.5999999996</v>
      </c>
      <c r="O1658" s="1075">
        <f>N1658/M1658</f>
        <v>0.4967970363006009</v>
      </c>
      <c r="P1658" s="1117" t="s">
        <v>395</v>
      </c>
      <c r="Q1658" s="939"/>
      <c r="R1658" s="1118"/>
    </row>
    <row r="1659" spans="1:18" s="1070" customFormat="1" ht="50.1" customHeight="1">
      <c r="A1659" s="1059"/>
      <c r="B1659" s="1060"/>
      <c r="C1659" s="1061"/>
      <c r="D1659" s="1062" t="s">
        <v>653</v>
      </c>
      <c r="E1659" s="1063" t="s">
        <v>418</v>
      </c>
      <c r="F1659" s="1064">
        <f>7550+500+500+5500+6300</f>
        <v>20350</v>
      </c>
      <c r="G1659" s="1064"/>
      <c r="H1659" s="1064"/>
      <c r="I1659" s="1064"/>
      <c r="J1659" s="1065"/>
      <c r="K1659" s="1120"/>
      <c r="L1659" s="1121">
        <f>SUM(L1661:L1667)</f>
        <v>43604</v>
      </c>
      <c r="M1659" s="1121">
        <f t="shared" ref="M1659:N1659" si="169">SUM(M1661:M1667)</f>
        <v>43604</v>
      </c>
      <c r="N1659" s="1121">
        <f t="shared" si="169"/>
        <v>13089.150000000001</v>
      </c>
      <c r="O1659" s="1066">
        <f>N1659/M1659</f>
        <v>0.30018232272268602</v>
      </c>
      <c r="P1659" s="1067" t="s">
        <v>395</v>
      </c>
      <c r="Q1659" s="1068"/>
      <c r="R1659" s="1069"/>
    </row>
    <row r="1660" spans="1:18" s="1131" customFormat="1" ht="30" customHeight="1">
      <c r="A1660" s="1059"/>
      <c r="B1660" s="1122"/>
      <c r="C1660" s="1061"/>
      <c r="D1660" s="1062"/>
      <c r="E1660" s="1123" t="s">
        <v>13</v>
      </c>
      <c r="F1660" s="1124"/>
      <c r="G1660" s="1124"/>
      <c r="H1660" s="1124"/>
      <c r="I1660" s="1124"/>
      <c r="J1660" s="1125"/>
      <c r="K1660" s="1126"/>
      <c r="L1660" s="1127"/>
      <c r="M1660" s="1125"/>
      <c r="N1660" s="1125"/>
      <c r="O1660" s="1128"/>
      <c r="P1660" s="1129"/>
      <c r="Q1660" s="832"/>
      <c r="R1660" s="1130"/>
    </row>
    <row r="1661" spans="1:18" s="1131" customFormat="1" ht="60.75" customHeight="1">
      <c r="A1661" s="1059"/>
      <c r="B1661" s="1122"/>
      <c r="C1661" s="1061"/>
      <c r="D1661" s="1062"/>
      <c r="E1661" s="1123" t="s">
        <v>654</v>
      </c>
      <c r="F1661" s="1124"/>
      <c r="G1661" s="1124"/>
      <c r="H1661" s="1124"/>
      <c r="I1661" s="1124"/>
      <c r="J1661" s="1125"/>
      <c r="K1661" s="1125"/>
      <c r="L1661" s="1074">
        <v>1000</v>
      </c>
      <c r="M1661" s="1074">
        <v>1000</v>
      </c>
      <c r="N1661" s="1074">
        <v>351.8</v>
      </c>
      <c r="O1661" s="1075">
        <f>N1661/M1661</f>
        <v>0.3518</v>
      </c>
      <c r="P1661" s="1129" t="s">
        <v>395</v>
      </c>
      <c r="Q1661" s="832"/>
      <c r="R1661" s="1130"/>
    </row>
    <row r="1662" spans="1:18" s="1087" customFormat="1" ht="52.5" customHeight="1">
      <c r="A1662" s="1076"/>
      <c r="B1662" s="1077"/>
      <c r="C1662" s="1078"/>
      <c r="D1662" s="1079"/>
      <c r="E1662" s="1071" t="s">
        <v>655</v>
      </c>
      <c r="F1662" s="1080"/>
      <c r="G1662" s="1080"/>
      <c r="H1662" s="1080"/>
      <c r="I1662" s="1080"/>
      <c r="J1662" s="1081"/>
      <c r="K1662" s="1081"/>
      <c r="L1662" s="1082">
        <v>15000</v>
      </c>
      <c r="M1662" s="1082">
        <v>14000</v>
      </c>
      <c r="N1662" s="1074">
        <v>2418.96</v>
      </c>
      <c r="O1662" s="1075">
        <f t="shared" ref="O1662:O1667" si="170">N1662/M1662</f>
        <v>0.17278285714285715</v>
      </c>
      <c r="P1662" s="1084" t="s">
        <v>395</v>
      </c>
      <c r="Q1662" s="1085"/>
      <c r="R1662" s="1086"/>
    </row>
    <row r="1663" spans="1:18" s="1087" customFormat="1" ht="52.5" customHeight="1">
      <c r="A1663" s="1076"/>
      <c r="B1663" s="1077"/>
      <c r="C1663" s="1078"/>
      <c r="D1663" s="1079"/>
      <c r="E1663" s="1071" t="s">
        <v>656</v>
      </c>
      <c r="F1663" s="1080"/>
      <c r="G1663" s="1080"/>
      <c r="H1663" s="1080"/>
      <c r="I1663" s="1080"/>
      <c r="J1663" s="1081"/>
      <c r="K1663" s="1081"/>
      <c r="L1663" s="1082">
        <v>400</v>
      </c>
      <c r="M1663" s="1082">
        <v>400</v>
      </c>
      <c r="N1663" s="1074">
        <v>0</v>
      </c>
      <c r="O1663" s="1075">
        <f t="shared" si="170"/>
        <v>0</v>
      </c>
      <c r="P1663" s="1084" t="s">
        <v>395</v>
      </c>
      <c r="Q1663" s="1085"/>
      <c r="R1663" s="1086"/>
    </row>
    <row r="1664" spans="1:18" s="1087" customFormat="1" ht="52.5" customHeight="1">
      <c r="A1664" s="1076"/>
      <c r="B1664" s="1077"/>
      <c r="C1664" s="1078"/>
      <c r="D1664" s="1079"/>
      <c r="E1664" s="1071" t="s">
        <v>658</v>
      </c>
      <c r="F1664" s="1080"/>
      <c r="G1664" s="1080"/>
      <c r="H1664" s="1080"/>
      <c r="I1664" s="1080"/>
      <c r="J1664" s="1081"/>
      <c r="K1664" s="1081"/>
      <c r="L1664" s="1082">
        <v>2372</v>
      </c>
      <c r="M1664" s="1082">
        <v>2372</v>
      </c>
      <c r="N1664" s="1074">
        <v>1779</v>
      </c>
      <c r="O1664" s="1075">
        <f t="shared" si="170"/>
        <v>0.75</v>
      </c>
      <c r="P1664" s="1084" t="s">
        <v>395</v>
      </c>
      <c r="Q1664" s="1085"/>
      <c r="R1664" s="1086"/>
    </row>
    <row r="1665" spans="1:18" s="1087" customFormat="1" ht="52.5" customHeight="1">
      <c r="A1665" s="1076"/>
      <c r="B1665" s="1077"/>
      <c r="C1665" s="1078"/>
      <c r="D1665" s="1079"/>
      <c r="E1665" s="1071" t="s">
        <v>659</v>
      </c>
      <c r="F1665" s="1080"/>
      <c r="G1665" s="1080"/>
      <c r="H1665" s="1080"/>
      <c r="I1665" s="1080"/>
      <c r="J1665" s="1081"/>
      <c r="K1665" s="1081"/>
      <c r="L1665" s="1082">
        <v>0</v>
      </c>
      <c r="M1665" s="1082">
        <v>2600</v>
      </c>
      <c r="N1665" s="1074">
        <v>0</v>
      </c>
      <c r="O1665" s="1075">
        <v>0</v>
      </c>
      <c r="P1665" s="1084" t="s">
        <v>395</v>
      </c>
      <c r="Q1665" s="1085"/>
      <c r="R1665" s="1086"/>
    </row>
    <row r="1666" spans="1:18" s="1087" customFormat="1" ht="52.5" customHeight="1">
      <c r="A1666" s="1076"/>
      <c r="B1666" s="1077"/>
      <c r="C1666" s="1078"/>
      <c r="D1666" s="1079"/>
      <c r="E1666" s="1071" t="s">
        <v>660</v>
      </c>
      <c r="F1666" s="1080"/>
      <c r="G1666" s="1080"/>
      <c r="H1666" s="1080"/>
      <c r="I1666" s="1080"/>
      <c r="J1666" s="1081"/>
      <c r="K1666" s="1081"/>
      <c r="L1666" s="1082">
        <v>500</v>
      </c>
      <c r="M1666" s="1082">
        <v>1500</v>
      </c>
      <c r="N1666" s="1074">
        <v>708.02</v>
      </c>
      <c r="O1666" s="1075">
        <f t="shared" ref="O1666" si="171">N1666/M1666</f>
        <v>0.47201333333333334</v>
      </c>
      <c r="P1666" s="1084" t="s">
        <v>395</v>
      </c>
      <c r="Q1666" s="1085"/>
      <c r="R1666" s="1086"/>
    </row>
    <row r="1667" spans="1:18" s="1087" customFormat="1" ht="52.5" customHeight="1">
      <c r="A1667" s="1076"/>
      <c r="B1667" s="1077"/>
      <c r="C1667" s="1078"/>
      <c r="D1667" s="1079"/>
      <c r="E1667" s="1071" t="s">
        <v>661</v>
      </c>
      <c r="F1667" s="1080"/>
      <c r="G1667" s="1080"/>
      <c r="H1667" s="1080"/>
      <c r="I1667" s="1080"/>
      <c r="J1667" s="1081"/>
      <c r="K1667" s="1081"/>
      <c r="L1667" s="1082">
        <v>24332</v>
      </c>
      <c r="M1667" s="1082">
        <v>21732</v>
      </c>
      <c r="N1667" s="1074">
        <v>7831.37</v>
      </c>
      <c r="O1667" s="1075">
        <f t="shared" si="170"/>
        <v>0.36036121847966135</v>
      </c>
      <c r="P1667" s="1084" t="s">
        <v>395</v>
      </c>
      <c r="Q1667" s="1085"/>
      <c r="R1667" s="1086"/>
    </row>
    <row r="1668" spans="1:18" s="431" customFormat="1" ht="93.75" customHeight="1">
      <c r="A1668" s="429"/>
      <c r="B1668" s="75">
        <v>85502</v>
      </c>
      <c r="C1668" s="74"/>
      <c r="D1668" s="176"/>
      <c r="E1668" s="175" t="s">
        <v>155</v>
      </c>
      <c r="F1668" s="409">
        <f t="shared" ref="F1668:L1668" si="172">F1669+F1703</f>
        <v>6073000</v>
      </c>
      <c r="G1668" s="409">
        <f t="shared" si="172"/>
        <v>0</v>
      </c>
      <c r="H1668" s="409">
        <f t="shared" si="172"/>
        <v>0</v>
      </c>
      <c r="I1668" s="409">
        <f t="shared" si="172"/>
        <v>0</v>
      </c>
      <c r="J1668" s="409">
        <f t="shared" si="172"/>
        <v>0</v>
      </c>
      <c r="K1668" s="409">
        <f t="shared" si="172"/>
        <v>100000</v>
      </c>
      <c r="L1668" s="92">
        <f t="shared" si="172"/>
        <v>6173000</v>
      </c>
      <c r="M1668" s="92">
        <f t="shared" ref="M1668:N1668" si="173">M1669+M1703</f>
        <v>6173000</v>
      </c>
      <c r="N1668" s="92">
        <f t="shared" si="173"/>
        <v>3100142.71</v>
      </c>
      <c r="O1668" s="755">
        <f>N1668/M1668</f>
        <v>0.50221006155839942</v>
      </c>
      <c r="P1668" s="780" t="s">
        <v>395</v>
      </c>
      <c r="Q1668" s="664"/>
    </row>
    <row r="1669" spans="1:18" s="430" customFormat="1" ht="131.4" customHeight="1">
      <c r="A1669" s="429"/>
      <c r="B1669" s="465"/>
      <c r="C1669" s="449">
        <v>1</v>
      </c>
      <c r="D1669" s="445"/>
      <c r="E1669" s="446" t="s">
        <v>271</v>
      </c>
      <c r="F1669" s="386">
        <v>6073000</v>
      </c>
      <c r="G1669" s="419"/>
      <c r="H1669" s="419"/>
      <c r="I1669" s="419"/>
      <c r="J1669" s="419"/>
      <c r="K1669" s="419"/>
      <c r="L1669" s="386">
        <f>L1670+L1675+L1694</f>
        <v>6073000</v>
      </c>
      <c r="M1669" s="386">
        <f t="shared" ref="M1669:N1669" si="174">M1670+M1675+M1694</f>
        <v>6073000</v>
      </c>
      <c r="N1669" s="386">
        <f t="shared" si="174"/>
        <v>3054812.45</v>
      </c>
      <c r="O1669" s="851">
        <f>N1669/M1669</f>
        <v>0.50301538778198585</v>
      </c>
      <c r="P1669" s="792" t="s">
        <v>395</v>
      </c>
      <c r="Q1669" s="664"/>
    </row>
    <row r="1670" spans="1:18" s="927" customFormat="1" ht="50.1" customHeight="1">
      <c r="A1670" s="1049"/>
      <c r="B1670" s="918"/>
      <c r="C1670" s="1050"/>
      <c r="D1670" s="920" t="s">
        <v>411</v>
      </c>
      <c r="E1670" s="921" t="s">
        <v>412</v>
      </c>
      <c r="F1670" s="1051">
        <f>100045+11595+59000+2740</f>
        <v>173380</v>
      </c>
      <c r="G1670" s="1051">
        <f>G1671</f>
        <v>0</v>
      </c>
      <c r="H1670" s="1051">
        <f>H1671</f>
        <v>0</v>
      </c>
      <c r="I1670" s="1051">
        <f>I1671</f>
        <v>0</v>
      </c>
      <c r="J1670" s="1051">
        <f>J1671</f>
        <v>0</v>
      </c>
      <c r="K1670" s="1051">
        <f>K1671</f>
        <v>0</v>
      </c>
      <c r="L1670" s="1051">
        <f>SUM(L1672:L1674)</f>
        <v>391421</v>
      </c>
      <c r="M1670" s="1051">
        <f>SUM(M1672:M1674)</f>
        <v>391421</v>
      </c>
      <c r="N1670" s="1051">
        <f>SUM(N1672:N1674)</f>
        <v>214388.03</v>
      </c>
      <c r="O1670" s="1052">
        <f t="shared" ref="O1670" si="175">N1670/M1670</f>
        <v>0.54771724051596615</v>
      </c>
      <c r="P1670" s="924" t="s">
        <v>395</v>
      </c>
      <c r="Q1670" s="925"/>
      <c r="R1670" s="926"/>
    </row>
    <row r="1671" spans="1:18" s="1104" customFormat="1" ht="31.5" customHeight="1">
      <c r="A1671" s="1049"/>
      <c r="B1671" s="1097"/>
      <c r="C1671" s="1050"/>
      <c r="D1671" s="920"/>
      <c r="E1671" s="1098" t="s">
        <v>13</v>
      </c>
      <c r="F1671" s="1099"/>
      <c r="G1671" s="1099"/>
      <c r="H1671" s="1099"/>
      <c r="I1671" s="1099"/>
      <c r="J1671" s="1100"/>
      <c r="K1671" s="1100"/>
      <c r="L1671" s="1100"/>
      <c r="M1671" s="1100"/>
      <c r="N1671" s="1100"/>
      <c r="O1671" s="1101"/>
      <c r="P1671" s="1102"/>
      <c r="Q1671" s="1040"/>
      <c r="R1671" s="1103"/>
    </row>
    <row r="1672" spans="1:18" s="941" customFormat="1" ht="48" customHeight="1">
      <c r="A1672" s="1053"/>
      <c r="B1672" s="929"/>
      <c r="C1672" s="1054"/>
      <c r="D1672" s="931"/>
      <c r="E1672" s="932" t="s">
        <v>662</v>
      </c>
      <c r="F1672" s="1055"/>
      <c r="G1672" s="1055"/>
      <c r="H1672" s="1055"/>
      <c r="I1672" s="1055"/>
      <c r="J1672" s="1056"/>
      <c r="K1672" s="1056"/>
      <c r="L1672" s="1089">
        <v>96005</v>
      </c>
      <c r="M1672" s="1089">
        <v>96005</v>
      </c>
      <c r="N1672" s="1091">
        <v>58126.19</v>
      </c>
      <c r="O1672" s="1090">
        <f>N1672/M1672</f>
        <v>0.60544961199937508</v>
      </c>
      <c r="P1672" s="938" t="s">
        <v>395</v>
      </c>
      <c r="Q1672" s="939"/>
      <c r="R1672" s="940"/>
    </row>
    <row r="1673" spans="1:18" s="941" customFormat="1" ht="48" customHeight="1">
      <c r="A1673" s="1053"/>
      <c r="B1673" s="929"/>
      <c r="C1673" s="1054"/>
      <c r="D1673" s="931"/>
      <c r="E1673" s="932" t="s">
        <v>629</v>
      </c>
      <c r="F1673" s="1055"/>
      <c r="G1673" s="1055"/>
      <c r="H1673" s="1055"/>
      <c r="I1673" s="1055"/>
      <c r="J1673" s="1056"/>
      <c r="K1673" s="1056"/>
      <c r="L1673" s="1089">
        <v>14050</v>
      </c>
      <c r="M1673" s="1089">
        <v>14050</v>
      </c>
      <c r="N1673" s="1091">
        <v>14047.69</v>
      </c>
      <c r="O1673" s="1090">
        <f>N1673/M1673</f>
        <v>0.9998355871886121</v>
      </c>
      <c r="P1673" s="938" t="s">
        <v>395</v>
      </c>
      <c r="Q1673" s="939"/>
      <c r="R1673" s="940"/>
    </row>
    <row r="1674" spans="1:18" s="941" customFormat="1" ht="48" customHeight="1">
      <c r="A1674" s="1053"/>
      <c r="B1674" s="929"/>
      <c r="C1674" s="1054"/>
      <c r="D1674" s="931"/>
      <c r="E1674" s="932" t="s">
        <v>663</v>
      </c>
      <c r="F1674" s="1055"/>
      <c r="G1674" s="1055"/>
      <c r="H1674" s="1055"/>
      <c r="I1674" s="1055"/>
      <c r="J1674" s="1056"/>
      <c r="K1674" s="1056"/>
      <c r="L1674" s="1089">
        <f>19948+260000+1418</f>
        <v>281366</v>
      </c>
      <c r="M1674" s="1089">
        <f>19948+260000+1418</f>
        <v>281366</v>
      </c>
      <c r="N1674" s="1091">
        <f>12409.94+128920.74+883.47</f>
        <v>142214.15</v>
      </c>
      <c r="O1674" s="1090">
        <f>N1674/M1674</f>
        <v>0.50544184443038598</v>
      </c>
      <c r="P1674" s="938" t="s">
        <v>395</v>
      </c>
      <c r="Q1674" s="939"/>
      <c r="R1674" s="940"/>
    </row>
    <row r="1675" spans="1:18" s="927" customFormat="1" ht="50.1" customHeight="1">
      <c r="A1675" s="1049"/>
      <c r="B1675" s="918"/>
      <c r="C1675" s="1050"/>
      <c r="D1675" s="920" t="s">
        <v>417</v>
      </c>
      <c r="E1675" s="921" t="s">
        <v>651</v>
      </c>
      <c r="F1675" s="1051">
        <v>4866270</v>
      </c>
      <c r="G1675" s="1051" t="e">
        <f>#REF!</f>
        <v>#REF!</v>
      </c>
      <c r="H1675" s="1051" t="e">
        <f>#REF!</f>
        <v>#REF!</v>
      </c>
      <c r="I1675" s="1051" t="e">
        <f>#REF!</f>
        <v>#REF!</v>
      </c>
      <c r="J1675" s="1051" t="e">
        <f>#REF!</f>
        <v>#REF!</v>
      </c>
      <c r="K1675" s="1051" t="e">
        <f>#REF!</f>
        <v>#REF!</v>
      </c>
      <c r="L1675" s="1051">
        <v>5661165</v>
      </c>
      <c r="M1675" s="1051">
        <f>5648805+12000</f>
        <v>5660805</v>
      </c>
      <c r="N1675" s="1132">
        <f>SUM(N1677:N1693)</f>
        <v>2831225.7700000005</v>
      </c>
      <c r="O1675" s="1052">
        <f>N1675/M1675</f>
        <v>0.50014543337917494</v>
      </c>
      <c r="P1675" s="924" t="s">
        <v>395</v>
      </c>
      <c r="Q1675" s="925"/>
      <c r="R1675" s="926"/>
    </row>
    <row r="1676" spans="1:18" s="1104" customFormat="1" ht="31.5" customHeight="1">
      <c r="A1676" s="1049"/>
      <c r="B1676" s="1097"/>
      <c r="C1676" s="1050"/>
      <c r="D1676" s="920"/>
      <c r="E1676" s="1098" t="s">
        <v>13</v>
      </c>
      <c r="F1676" s="1099"/>
      <c r="G1676" s="1099"/>
      <c r="H1676" s="1099"/>
      <c r="I1676" s="1099"/>
      <c r="J1676" s="1100"/>
      <c r="K1676" s="1100"/>
      <c r="L1676" s="1100"/>
      <c r="M1676" s="1100"/>
      <c r="N1676" s="1100"/>
      <c r="O1676" s="1101"/>
      <c r="P1676" s="1102"/>
      <c r="Q1676" s="1040"/>
      <c r="R1676" s="1103"/>
    </row>
    <row r="1677" spans="1:18" s="1119" customFormat="1" ht="36" customHeight="1">
      <c r="A1677" s="1105"/>
      <c r="B1677" s="1106"/>
      <c r="C1677" s="1107"/>
      <c r="D1677" s="1108" t="s">
        <v>0</v>
      </c>
      <c r="E1677" s="1109" t="s">
        <v>664</v>
      </c>
      <c r="F1677" s="1110"/>
      <c r="G1677" s="1111"/>
      <c r="H1677" s="1110"/>
      <c r="I1677" s="1112">
        <v>620044</v>
      </c>
      <c r="J1677" s="1110"/>
      <c r="K1677" s="1113"/>
      <c r="L1677" s="1133"/>
      <c r="M1677" s="1115"/>
      <c r="N1677" s="1116">
        <v>513240.31</v>
      </c>
      <c r="O1677" s="1134"/>
      <c r="P1677" s="1117" t="s">
        <v>395</v>
      </c>
      <c r="Q1677" s="939"/>
      <c r="R1677" s="1118"/>
    </row>
    <row r="1678" spans="1:18" s="1119" customFormat="1" ht="40.799999999999997" customHeight="1">
      <c r="A1678" s="1105"/>
      <c r="B1678" s="1106"/>
      <c r="C1678" s="1107"/>
      <c r="D1678" s="1108" t="s">
        <v>0</v>
      </c>
      <c r="E1678" s="1109" t="s">
        <v>665</v>
      </c>
      <c r="F1678" s="1110"/>
      <c r="G1678" s="1111"/>
      <c r="H1678" s="1110"/>
      <c r="I1678" s="1112">
        <v>61000</v>
      </c>
      <c r="J1678" s="1110"/>
      <c r="K1678" s="1113"/>
      <c r="L1678" s="1133"/>
      <c r="M1678" s="1115"/>
      <c r="N1678" s="1116">
        <v>22258.959999999999</v>
      </c>
      <c r="O1678" s="1134"/>
      <c r="P1678" s="1117" t="s">
        <v>395</v>
      </c>
      <c r="Q1678" s="939"/>
      <c r="R1678" s="1118"/>
    </row>
    <row r="1679" spans="1:18" s="1119" customFormat="1" ht="45" customHeight="1">
      <c r="A1679" s="1105"/>
      <c r="B1679" s="1106"/>
      <c r="C1679" s="1107"/>
      <c r="D1679" s="1108" t="s">
        <v>0</v>
      </c>
      <c r="E1679" s="1109" t="s">
        <v>666</v>
      </c>
      <c r="F1679" s="1110"/>
      <c r="G1679" s="1111"/>
      <c r="H1679" s="1110"/>
      <c r="I1679" s="1112">
        <v>100000</v>
      </c>
      <c r="J1679" s="1110"/>
      <c r="K1679" s="1113"/>
      <c r="L1679" s="1133"/>
      <c r="M1679" s="1115"/>
      <c r="N1679" s="1116">
        <v>73000</v>
      </c>
      <c r="O1679" s="1134"/>
      <c r="P1679" s="1117" t="s">
        <v>395</v>
      </c>
      <c r="Q1679" s="939"/>
      <c r="R1679" s="1118"/>
    </row>
    <row r="1680" spans="1:18" s="1119" customFormat="1" ht="54" customHeight="1">
      <c r="A1680" s="1105"/>
      <c r="B1680" s="1106"/>
      <c r="C1680" s="1107"/>
      <c r="D1680" s="1108" t="s">
        <v>0</v>
      </c>
      <c r="E1680" s="1109" t="s">
        <v>667</v>
      </c>
      <c r="F1680" s="1110"/>
      <c r="G1680" s="1111"/>
      <c r="H1680" s="1110"/>
      <c r="I1680" s="1112">
        <v>130022.8</v>
      </c>
      <c r="J1680" s="1110"/>
      <c r="K1680" s="1113"/>
      <c r="L1680" s="1133"/>
      <c r="M1680" s="1115"/>
      <c r="N1680" s="1116">
        <v>46104.36</v>
      </c>
      <c r="O1680" s="1134"/>
      <c r="P1680" s="1117" t="s">
        <v>395</v>
      </c>
      <c r="Q1680" s="939"/>
      <c r="R1680" s="1118"/>
    </row>
    <row r="1681" spans="1:18" s="1119" customFormat="1" ht="36" customHeight="1">
      <c r="A1681" s="1105"/>
      <c r="B1681" s="1106"/>
      <c r="C1681" s="1107"/>
      <c r="D1681" s="1108" t="s">
        <v>0</v>
      </c>
      <c r="E1681" s="1109" t="s">
        <v>668</v>
      </c>
      <c r="F1681" s="1110"/>
      <c r="G1681" s="1111"/>
      <c r="H1681" s="1110"/>
      <c r="I1681" s="1112">
        <v>118100</v>
      </c>
      <c r="J1681" s="1110"/>
      <c r="K1681" s="1113"/>
      <c r="L1681" s="1133"/>
      <c r="M1681" s="1115"/>
      <c r="N1681" s="1116">
        <v>27998.28</v>
      </c>
      <c r="O1681" s="1134"/>
      <c r="P1681" s="1117" t="s">
        <v>395</v>
      </c>
      <c r="Q1681" s="939"/>
      <c r="R1681" s="1118"/>
    </row>
    <row r="1682" spans="1:18" s="1119" customFormat="1" ht="36" customHeight="1">
      <c r="A1682" s="1105"/>
      <c r="B1682" s="1106"/>
      <c r="C1682" s="1107"/>
      <c r="D1682" s="1108" t="s">
        <v>0</v>
      </c>
      <c r="E1682" s="1109" t="s">
        <v>669</v>
      </c>
      <c r="F1682" s="1110"/>
      <c r="G1682" s="1111"/>
      <c r="H1682" s="1110"/>
      <c r="I1682" s="1112">
        <v>122600</v>
      </c>
      <c r="J1682" s="1110"/>
      <c r="K1682" s="1113"/>
      <c r="L1682" s="1133"/>
      <c r="M1682" s="1115"/>
      <c r="N1682" s="1116">
        <v>57630.18</v>
      </c>
      <c r="O1682" s="1134"/>
      <c r="P1682" s="1117" t="s">
        <v>395</v>
      </c>
      <c r="Q1682" s="939"/>
      <c r="R1682" s="1118"/>
    </row>
    <row r="1683" spans="1:18" s="1119" customFormat="1" ht="62.25" customHeight="1">
      <c r="A1683" s="1105"/>
      <c r="B1683" s="1106"/>
      <c r="C1683" s="1107"/>
      <c r="D1683" s="1108" t="s">
        <v>0</v>
      </c>
      <c r="E1683" s="1109" t="s">
        <v>670</v>
      </c>
      <c r="F1683" s="1110"/>
      <c r="G1683" s="1111"/>
      <c r="H1683" s="1110"/>
      <c r="I1683" s="1112">
        <v>34920</v>
      </c>
      <c r="J1683" s="1110"/>
      <c r="K1683" s="1113"/>
      <c r="L1683" s="1133"/>
      <c r="M1683" s="1115"/>
      <c r="N1683" s="1116">
        <v>27270.92</v>
      </c>
      <c r="O1683" s="1134"/>
      <c r="P1683" s="1117" t="s">
        <v>395</v>
      </c>
      <c r="Q1683" s="939"/>
      <c r="R1683" s="1118"/>
    </row>
    <row r="1684" spans="1:18" s="1119" customFormat="1" ht="36" customHeight="1">
      <c r="A1684" s="1105"/>
      <c r="B1684" s="1106"/>
      <c r="C1684" s="1107"/>
      <c r="D1684" s="1108" t="s">
        <v>0</v>
      </c>
      <c r="E1684" s="1109" t="s">
        <v>671</v>
      </c>
      <c r="F1684" s="1110"/>
      <c r="G1684" s="1111"/>
      <c r="H1684" s="1110"/>
      <c r="I1684" s="1112">
        <v>270</v>
      </c>
      <c r="J1684" s="1110"/>
      <c r="K1684" s="1113"/>
      <c r="L1684" s="1133"/>
      <c r="M1684" s="1115"/>
      <c r="N1684" s="1116">
        <v>969.13</v>
      </c>
      <c r="O1684" s="1134"/>
      <c r="P1684" s="1117" t="s">
        <v>395</v>
      </c>
      <c r="Q1684" s="939"/>
      <c r="R1684" s="1118"/>
    </row>
    <row r="1685" spans="1:18" s="1119" customFormat="1" ht="62.25" customHeight="1">
      <c r="A1685" s="1105"/>
      <c r="B1685" s="1106"/>
      <c r="C1685" s="1107"/>
      <c r="D1685" s="1108" t="s">
        <v>0</v>
      </c>
      <c r="E1685" s="1109" t="s">
        <v>672</v>
      </c>
      <c r="F1685" s="1110"/>
      <c r="G1685" s="1111"/>
      <c r="H1685" s="1110"/>
      <c r="I1685" s="1112">
        <v>11680</v>
      </c>
      <c r="J1685" s="1110"/>
      <c r="K1685" s="1113"/>
      <c r="L1685" s="1133"/>
      <c r="M1685" s="1115"/>
      <c r="N1685" s="1116">
        <v>4593.6400000000003</v>
      </c>
      <c r="O1685" s="1134"/>
      <c r="P1685" s="1117" t="s">
        <v>395</v>
      </c>
      <c r="Q1685" s="939"/>
      <c r="R1685" s="1118"/>
    </row>
    <row r="1686" spans="1:18" s="1119" customFormat="1" ht="72" customHeight="1">
      <c r="A1686" s="1105"/>
      <c r="B1686" s="1106"/>
      <c r="C1686" s="1107"/>
      <c r="D1686" s="1108" t="s">
        <v>0</v>
      </c>
      <c r="E1686" s="1109" t="s">
        <v>673</v>
      </c>
      <c r="F1686" s="1110"/>
      <c r="G1686" s="1111"/>
      <c r="H1686" s="1110"/>
      <c r="I1686" s="1112">
        <v>11680</v>
      </c>
      <c r="J1686" s="1110"/>
      <c r="K1686" s="1113"/>
      <c r="L1686" s="1133"/>
      <c r="M1686" s="1115"/>
      <c r="N1686" s="1116">
        <v>24959.279999999999</v>
      </c>
      <c r="O1686" s="1134"/>
      <c r="P1686" s="1117" t="s">
        <v>395</v>
      </c>
      <c r="Q1686" s="939"/>
      <c r="R1686" s="1118"/>
    </row>
    <row r="1687" spans="1:18" s="1119" customFormat="1" ht="36" customHeight="1">
      <c r="A1687" s="1105"/>
      <c r="B1687" s="1106"/>
      <c r="C1687" s="1107"/>
      <c r="D1687" s="1108" t="s">
        <v>0</v>
      </c>
      <c r="E1687" s="1109" t="s">
        <v>674</v>
      </c>
      <c r="F1687" s="1110"/>
      <c r="G1687" s="1111"/>
      <c r="H1687" s="1110"/>
      <c r="I1687" s="1112"/>
      <c r="J1687" s="1110"/>
      <c r="K1687" s="1113"/>
      <c r="L1687" s="1133"/>
      <c r="M1687" s="1115"/>
      <c r="N1687" s="1116">
        <v>437250.01</v>
      </c>
      <c r="O1687" s="1134"/>
      <c r="P1687" s="1117" t="s">
        <v>395</v>
      </c>
      <c r="Q1687" s="939"/>
      <c r="R1687" s="1118"/>
    </row>
    <row r="1688" spans="1:18" s="1119" customFormat="1" ht="36" customHeight="1">
      <c r="A1688" s="1105"/>
      <c r="B1688" s="1106"/>
      <c r="C1688" s="1107"/>
      <c r="D1688" s="1108" t="s">
        <v>0</v>
      </c>
      <c r="E1688" s="1109" t="s">
        <v>675</v>
      </c>
      <c r="F1688" s="1110"/>
      <c r="G1688" s="1111"/>
      <c r="H1688" s="1110"/>
      <c r="I1688" s="1112"/>
      <c r="J1688" s="1110"/>
      <c r="K1688" s="1113"/>
      <c r="L1688" s="1133"/>
      <c r="M1688" s="1115"/>
      <c r="N1688" s="1116">
        <v>425555.20000000001</v>
      </c>
      <c r="O1688" s="1134"/>
      <c r="P1688" s="1117"/>
      <c r="Q1688" s="939"/>
      <c r="R1688" s="1118"/>
    </row>
    <row r="1689" spans="1:18" s="1119" customFormat="1" ht="36" customHeight="1">
      <c r="A1689" s="1105"/>
      <c r="B1689" s="1106"/>
      <c r="C1689" s="1107"/>
      <c r="D1689" s="1108" t="s">
        <v>0</v>
      </c>
      <c r="E1689" s="1109" t="s">
        <v>676</v>
      </c>
      <c r="F1689" s="1110"/>
      <c r="G1689" s="1111"/>
      <c r="H1689" s="1110"/>
      <c r="I1689" s="1112">
        <v>231696</v>
      </c>
      <c r="J1689" s="1110"/>
      <c r="K1689" s="1113"/>
      <c r="L1689" s="1133"/>
      <c r="M1689" s="1115"/>
      <c r="N1689" s="1116">
        <v>511874.7</v>
      </c>
      <c r="O1689" s="1134"/>
      <c r="P1689" s="1117" t="s">
        <v>395</v>
      </c>
      <c r="Q1689" s="939"/>
      <c r="R1689" s="1118"/>
    </row>
    <row r="1690" spans="1:18" s="1119" customFormat="1" ht="36" customHeight="1">
      <c r="A1690" s="1105"/>
      <c r="B1690" s="1106"/>
      <c r="C1690" s="1107"/>
      <c r="D1690" s="1108" t="s">
        <v>0</v>
      </c>
      <c r="E1690" s="1109" t="s">
        <v>677</v>
      </c>
      <c r="F1690" s="1110"/>
      <c r="G1690" s="1111"/>
      <c r="H1690" s="1110"/>
      <c r="I1690" s="1112">
        <v>55720</v>
      </c>
      <c r="J1690" s="1110"/>
      <c r="K1690" s="1113"/>
      <c r="L1690" s="1133"/>
      <c r="M1690" s="1115"/>
      <c r="N1690" s="1116">
        <v>39520</v>
      </c>
      <c r="O1690" s="1134"/>
      <c r="P1690" s="1117" t="s">
        <v>395</v>
      </c>
      <c r="Q1690" s="939"/>
      <c r="R1690" s="1118"/>
    </row>
    <row r="1691" spans="1:18" s="1119" customFormat="1" ht="36" customHeight="1">
      <c r="A1691" s="1105"/>
      <c r="B1691" s="1106"/>
      <c r="C1691" s="1107"/>
      <c r="D1691" s="1108" t="s">
        <v>0</v>
      </c>
      <c r="E1691" s="1109" t="s">
        <v>678</v>
      </c>
      <c r="F1691" s="1110"/>
      <c r="G1691" s="1111"/>
      <c r="H1691" s="1110"/>
      <c r="I1691" s="1112">
        <v>55720</v>
      </c>
      <c r="J1691" s="1110"/>
      <c r="K1691" s="1113"/>
      <c r="L1691" s="1133"/>
      <c r="M1691" s="1115"/>
      <c r="N1691" s="1116">
        <v>24458</v>
      </c>
      <c r="O1691" s="1134"/>
      <c r="P1691" s="1117" t="s">
        <v>395</v>
      </c>
      <c r="Q1691" s="939"/>
      <c r="R1691" s="1118"/>
    </row>
    <row r="1692" spans="1:18" s="1119" customFormat="1" ht="36" customHeight="1">
      <c r="A1692" s="1105"/>
      <c r="B1692" s="1106"/>
      <c r="C1692" s="1107"/>
      <c r="D1692" s="1108" t="s">
        <v>0</v>
      </c>
      <c r="E1692" s="1109" t="s">
        <v>679</v>
      </c>
      <c r="F1692" s="1110"/>
      <c r="G1692" s="1111"/>
      <c r="H1692" s="1110"/>
      <c r="I1692" s="1112">
        <v>55720</v>
      </c>
      <c r="J1692" s="1110"/>
      <c r="K1692" s="1113"/>
      <c r="L1692" s="1133"/>
      <c r="M1692" s="1115"/>
      <c r="N1692" s="1116">
        <v>582542.80000000005</v>
      </c>
      <c r="O1692" s="1134"/>
      <c r="P1692" s="1117" t="s">
        <v>395</v>
      </c>
      <c r="Q1692" s="939"/>
      <c r="R1692" s="1118"/>
    </row>
    <row r="1693" spans="1:18" s="1119" customFormat="1" ht="36" customHeight="1">
      <c r="A1693" s="1105"/>
      <c r="B1693" s="1106"/>
      <c r="C1693" s="1107"/>
      <c r="D1693" s="1108" t="s">
        <v>0</v>
      </c>
      <c r="E1693" s="1109" t="s">
        <v>721</v>
      </c>
      <c r="F1693" s="1110"/>
      <c r="G1693" s="1111"/>
      <c r="H1693" s="1110"/>
      <c r="I1693" s="1112">
        <v>55720</v>
      </c>
      <c r="J1693" s="1110"/>
      <c r="K1693" s="1113"/>
      <c r="L1693" s="1133"/>
      <c r="M1693" s="1115"/>
      <c r="N1693" s="1116">
        <v>12000</v>
      </c>
      <c r="O1693" s="1134"/>
      <c r="P1693" s="1117" t="s">
        <v>395</v>
      </c>
      <c r="Q1693" s="939"/>
      <c r="R1693" s="1118"/>
    </row>
    <row r="1694" spans="1:18" s="1070" customFormat="1" ht="50.1" customHeight="1">
      <c r="A1694" s="1059"/>
      <c r="B1694" s="1060"/>
      <c r="C1694" s="1061"/>
      <c r="D1694" s="1062" t="s">
        <v>653</v>
      </c>
      <c r="E1694" s="1063" t="s">
        <v>418</v>
      </c>
      <c r="F1694" s="1064">
        <f>7550+500+500+5500+6300</f>
        <v>20350</v>
      </c>
      <c r="G1694" s="1064"/>
      <c r="H1694" s="1064"/>
      <c r="I1694" s="1064"/>
      <c r="J1694" s="1065"/>
      <c r="K1694" s="1120"/>
      <c r="L1694" s="1121">
        <f>L1696+L1697+L1698+L1699+L1700+L1701+L1702</f>
        <v>20414</v>
      </c>
      <c r="M1694" s="1121">
        <f t="shared" ref="M1694:N1694" si="176">M1696+M1697+M1698+M1699+M1700+M1701+M1702</f>
        <v>20774</v>
      </c>
      <c r="N1694" s="1121">
        <f t="shared" si="176"/>
        <v>9198.6500000000015</v>
      </c>
      <c r="O1694" s="1066">
        <f>N1694/M1694</f>
        <v>0.44279628381630892</v>
      </c>
      <c r="P1694" s="1067" t="s">
        <v>395</v>
      </c>
      <c r="Q1694" s="1068"/>
      <c r="R1694" s="1069"/>
    </row>
    <row r="1695" spans="1:18" s="1131" customFormat="1" ht="30" customHeight="1">
      <c r="A1695" s="1059"/>
      <c r="B1695" s="1122"/>
      <c r="C1695" s="1061"/>
      <c r="D1695" s="1062"/>
      <c r="E1695" s="1123" t="s">
        <v>13</v>
      </c>
      <c r="F1695" s="1124"/>
      <c r="G1695" s="1124"/>
      <c r="H1695" s="1124"/>
      <c r="I1695" s="1124"/>
      <c r="J1695" s="1125"/>
      <c r="K1695" s="1126"/>
      <c r="L1695" s="1127"/>
      <c r="M1695" s="1125"/>
      <c r="N1695" s="1125"/>
      <c r="O1695" s="1128"/>
      <c r="P1695" s="1129"/>
      <c r="Q1695" s="832"/>
      <c r="R1695" s="1130"/>
    </row>
    <row r="1696" spans="1:18" s="1131" customFormat="1" ht="60.75" customHeight="1">
      <c r="A1696" s="1059"/>
      <c r="B1696" s="1122"/>
      <c r="C1696" s="1061"/>
      <c r="D1696" s="1062"/>
      <c r="E1696" s="1123" t="s">
        <v>654</v>
      </c>
      <c r="F1696" s="1124"/>
      <c r="G1696" s="1124"/>
      <c r="H1696" s="1124"/>
      <c r="I1696" s="1124"/>
      <c r="J1696" s="1125"/>
      <c r="K1696" s="1125"/>
      <c r="L1696" s="1074">
        <v>1000</v>
      </c>
      <c r="M1696" s="1074">
        <v>1000</v>
      </c>
      <c r="N1696" s="1074">
        <v>40.700000000000003</v>
      </c>
      <c r="O1696" s="1075">
        <f>N1696/M1696</f>
        <v>4.07E-2</v>
      </c>
      <c r="P1696" s="1129" t="s">
        <v>395</v>
      </c>
      <c r="Q1696" s="832"/>
      <c r="R1696" s="1130"/>
    </row>
    <row r="1697" spans="1:18" s="1087" customFormat="1" ht="52.5" customHeight="1">
      <c r="A1697" s="1076"/>
      <c r="B1697" s="1077"/>
      <c r="C1697" s="1078"/>
      <c r="D1697" s="1079"/>
      <c r="E1697" s="1071" t="s">
        <v>680</v>
      </c>
      <c r="F1697" s="1080"/>
      <c r="G1697" s="1080"/>
      <c r="H1697" s="1080"/>
      <c r="I1697" s="1080"/>
      <c r="J1697" s="1081"/>
      <c r="K1697" s="1081"/>
      <c r="L1697" s="1082">
        <v>4319</v>
      </c>
      <c r="M1697" s="1082">
        <f>4319+360</f>
        <v>4679</v>
      </c>
      <c r="N1697" s="1074">
        <v>95.94</v>
      </c>
      <c r="O1697" s="1075">
        <f t="shared" ref="O1697:O1702" si="177">N1697/M1697</f>
        <v>2.0504381278050866E-2</v>
      </c>
      <c r="P1697" s="1084" t="s">
        <v>395</v>
      </c>
      <c r="Q1697" s="1085"/>
      <c r="R1697" s="1086"/>
    </row>
    <row r="1698" spans="1:18" s="1087" customFormat="1" ht="52.5" customHeight="1">
      <c r="A1698" s="1076"/>
      <c r="B1698" s="1077"/>
      <c r="C1698" s="1078"/>
      <c r="D1698" s="1079"/>
      <c r="E1698" s="1071" t="s">
        <v>656</v>
      </c>
      <c r="F1698" s="1080"/>
      <c r="G1698" s="1080"/>
      <c r="H1698" s="1080"/>
      <c r="I1698" s="1080"/>
      <c r="J1698" s="1081"/>
      <c r="K1698" s="1081"/>
      <c r="L1698" s="1082">
        <v>1000</v>
      </c>
      <c r="M1698" s="1082">
        <v>1000</v>
      </c>
      <c r="N1698" s="1074">
        <v>0</v>
      </c>
      <c r="O1698" s="1075">
        <f t="shared" si="177"/>
        <v>0</v>
      </c>
      <c r="P1698" s="1084" t="s">
        <v>395</v>
      </c>
      <c r="Q1698" s="1085"/>
      <c r="R1698" s="1086"/>
    </row>
    <row r="1699" spans="1:18" s="1087" customFormat="1" ht="52.5" customHeight="1">
      <c r="A1699" s="1076"/>
      <c r="B1699" s="1077"/>
      <c r="C1699" s="1078"/>
      <c r="D1699" s="1079"/>
      <c r="E1699" s="1071" t="s">
        <v>681</v>
      </c>
      <c r="F1699" s="1080"/>
      <c r="G1699" s="1080"/>
      <c r="H1699" s="1080"/>
      <c r="I1699" s="1080"/>
      <c r="J1699" s="1081"/>
      <c r="K1699" s="1081"/>
      <c r="L1699" s="1082">
        <v>0</v>
      </c>
      <c r="M1699" s="1082">
        <v>0</v>
      </c>
      <c r="N1699" s="1074">
        <v>0</v>
      </c>
      <c r="O1699" s="1075">
        <v>0</v>
      </c>
      <c r="P1699" s="1084" t="s">
        <v>395</v>
      </c>
      <c r="Q1699" s="1085"/>
      <c r="R1699" s="1086"/>
    </row>
    <row r="1700" spans="1:18" s="1087" customFormat="1" ht="52.5" customHeight="1">
      <c r="A1700" s="1076"/>
      <c r="B1700" s="1077"/>
      <c r="C1700" s="1078"/>
      <c r="D1700" s="1079"/>
      <c r="E1700" s="1071" t="s">
        <v>657</v>
      </c>
      <c r="F1700" s="1080"/>
      <c r="G1700" s="1080"/>
      <c r="H1700" s="1080"/>
      <c r="I1700" s="1080"/>
      <c r="J1700" s="1081"/>
      <c r="K1700" s="1081"/>
      <c r="L1700" s="1082">
        <v>7095</v>
      </c>
      <c r="M1700" s="1082">
        <v>7095</v>
      </c>
      <c r="N1700" s="1074">
        <v>5321.25</v>
      </c>
      <c r="O1700" s="1075">
        <f t="shared" si="177"/>
        <v>0.75</v>
      </c>
      <c r="P1700" s="1084" t="s">
        <v>395</v>
      </c>
      <c r="Q1700" s="1085"/>
      <c r="R1700" s="1086"/>
    </row>
    <row r="1701" spans="1:18" s="1087" customFormat="1" ht="62.25" customHeight="1">
      <c r="A1701" s="1076"/>
      <c r="B1701" s="1077"/>
      <c r="C1701" s="1078"/>
      <c r="D1701" s="1079"/>
      <c r="E1701" s="1071" t="s">
        <v>682</v>
      </c>
      <c r="F1701" s="1080"/>
      <c r="G1701" s="1080"/>
      <c r="H1701" s="1080"/>
      <c r="I1701" s="1080"/>
      <c r="J1701" s="1081"/>
      <c r="K1701" s="1081"/>
      <c r="L1701" s="1082">
        <v>500</v>
      </c>
      <c r="M1701" s="1082">
        <v>500</v>
      </c>
      <c r="N1701" s="1074">
        <v>0</v>
      </c>
      <c r="O1701" s="1075">
        <f t="shared" si="177"/>
        <v>0</v>
      </c>
      <c r="P1701" s="1084" t="s">
        <v>395</v>
      </c>
      <c r="Q1701" s="1085"/>
      <c r="R1701" s="1086"/>
    </row>
    <row r="1702" spans="1:18" s="1087" customFormat="1" ht="52.5" customHeight="1">
      <c r="A1702" s="1076"/>
      <c r="B1702" s="1077"/>
      <c r="C1702" s="1078"/>
      <c r="D1702" s="1079"/>
      <c r="E1702" s="1071" t="s">
        <v>661</v>
      </c>
      <c r="F1702" s="1080"/>
      <c r="G1702" s="1080"/>
      <c r="H1702" s="1080"/>
      <c r="I1702" s="1080"/>
      <c r="J1702" s="1081"/>
      <c r="K1702" s="1081"/>
      <c r="L1702" s="1082">
        <v>6500</v>
      </c>
      <c r="M1702" s="1082">
        <v>6500</v>
      </c>
      <c r="N1702" s="1074">
        <v>3740.76</v>
      </c>
      <c r="O1702" s="1075">
        <f t="shared" si="177"/>
        <v>0.57550153846153851</v>
      </c>
      <c r="P1702" s="1084" t="s">
        <v>395</v>
      </c>
      <c r="Q1702" s="1085"/>
      <c r="R1702" s="1086"/>
    </row>
    <row r="1703" spans="1:18" s="431" customFormat="1" ht="90" customHeight="1">
      <c r="A1703" s="429"/>
      <c r="B1703" s="216"/>
      <c r="C1703" s="198">
        <v>2</v>
      </c>
      <c r="D1703" s="463"/>
      <c r="E1703" s="464" t="s">
        <v>270</v>
      </c>
      <c r="F1703" s="205"/>
      <c r="G1703" s="451"/>
      <c r="H1703" s="451"/>
      <c r="I1703" s="451"/>
      <c r="J1703" s="451"/>
      <c r="K1703" s="452">
        <v>100000</v>
      </c>
      <c r="L1703" s="452">
        <f>L1704</f>
        <v>100000</v>
      </c>
      <c r="M1703" s="452">
        <f t="shared" ref="M1703:N1703" si="178">M1704</f>
        <v>100000</v>
      </c>
      <c r="N1703" s="452">
        <f t="shared" si="178"/>
        <v>45330.259999999995</v>
      </c>
      <c r="O1703" s="873">
        <f>N1703/M1703</f>
        <v>0.45330259999999994</v>
      </c>
      <c r="P1703" s="780" t="s">
        <v>395</v>
      </c>
      <c r="Q1703" s="664"/>
    </row>
    <row r="1704" spans="1:18" s="927" customFormat="1" ht="50.1" customHeight="1">
      <c r="A1704" s="1049"/>
      <c r="B1704" s="918"/>
      <c r="C1704" s="1050"/>
      <c r="D1704" s="920" t="s">
        <v>411</v>
      </c>
      <c r="E1704" s="921" t="s">
        <v>412</v>
      </c>
      <c r="F1704" s="1051">
        <f>100045+11595+59000+2740</f>
        <v>173380</v>
      </c>
      <c r="G1704" s="1051">
        <f>G1705</f>
        <v>0</v>
      </c>
      <c r="H1704" s="1051">
        <f>H1705</f>
        <v>0</v>
      </c>
      <c r="I1704" s="1051">
        <f>I1705</f>
        <v>0</v>
      </c>
      <c r="J1704" s="1051">
        <f>J1705</f>
        <v>0</v>
      </c>
      <c r="K1704" s="1051">
        <f>K1705</f>
        <v>0</v>
      </c>
      <c r="L1704" s="1135">
        <f>SUM(L1706:L1707)</f>
        <v>100000</v>
      </c>
      <c r="M1704" s="1135">
        <f>SUM(M1706:M1707)</f>
        <v>100000</v>
      </c>
      <c r="N1704" s="1135">
        <f>SUM(N1706:N1707)</f>
        <v>45330.259999999995</v>
      </c>
      <c r="O1704" s="1136">
        <f>N1704/M1704</f>
        <v>0.45330259999999994</v>
      </c>
      <c r="P1704" s="924" t="s">
        <v>395</v>
      </c>
      <c r="Q1704" s="925"/>
      <c r="R1704" s="926"/>
    </row>
    <row r="1705" spans="1:18" s="1104" customFormat="1" ht="32.25" customHeight="1">
      <c r="A1705" s="1049"/>
      <c r="B1705" s="1097"/>
      <c r="C1705" s="1050"/>
      <c r="D1705" s="920"/>
      <c r="E1705" s="1098" t="s">
        <v>13</v>
      </c>
      <c r="F1705" s="1099"/>
      <c r="G1705" s="1099"/>
      <c r="H1705" s="1099"/>
      <c r="I1705" s="1099"/>
      <c r="J1705" s="1100"/>
      <c r="K1705" s="1100"/>
      <c r="L1705" s="1137"/>
      <c r="M1705" s="1137"/>
      <c r="N1705" s="1137"/>
      <c r="O1705" s="1136"/>
      <c r="P1705" s="1102"/>
      <c r="Q1705" s="1040"/>
      <c r="R1705" s="1103"/>
    </row>
    <row r="1706" spans="1:18" s="941" customFormat="1" ht="45.75" customHeight="1">
      <c r="A1706" s="1053"/>
      <c r="B1706" s="929"/>
      <c r="C1706" s="1054"/>
      <c r="D1706" s="931"/>
      <c r="E1706" s="932" t="s">
        <v>683</v>
      </c>
      <c r="F1706" s="1055"/>
      <c r="G1706" s="1055"/>
      <c r="H1706" s="1055"/>
      <c r="I1706" s="1055"/>
      <c r="J1706" s="1056"/>
      <c r="K1706" s="1056"/>
      <c r="L1706" s="1089">
        <v>83403</v>
      </c>
      <c r="M1706" s="1089">
        <v>83403</v>
      </c>
      <c r="N1706" s="1091">
        <v>38309.85</v>
      </c>
      <c r="O1706" s="1090">
        <f t="shared" ref="O1706:O1707" si="179">N1706/M1706</f>
        <v>0.45933419661163266</v>
      </c>
      <c r="P1706" s="938" t="s">
        <v>395</v>
      </c>
      <c r="Q1706" s="939"/>
      <c r="R1706" s="940"/>
    </row>
    <row r="1707" spans="1:18" s="941" customFormat="1" ht="45.75" customHeight="1">
      <c r="A1707" s="1053"/>
      <c r="B1707" s="929"/>
      <c r="C1707" s="1054"/>
      <c r="D1707" s="931"/>
      <c r="E1707" s="932" t="s">
        <v>684</v>
      </c>
      <c r="F1707" s="1055"/>
      <c r="G1707" s="1055"/>
      <c r="H1707" s="1055"/>
      <c r="I1707" s="1055"/>
      <c r="J1707" s="1056"/>
      <c r="K1707" s="1056"/>
      <c r="L1707" s="1089">
        <v>16597</v>
      </c>
      <c r="M1707" s="1089">
        <v>16597</v>
      </c>
      <c r="N1707" s="1091">
        <v>7020.41</v>
      </c>
      <c r="O1707" s="1090">
        <f t="shared" si="179"/>
        <v>0.42299270952581791</v>
      </c>
      <c r="P1707" s="938" t="s">
        <v>395</v>
      </c>
      <c r="Q1707" s="939"/>
      <c r="R1707" s="940"/>
    </row>
    <row r="1708" spans="1:18" s="431" customFormat="1" ht="66.75" customHeight="1">
      <c r="A1708" s="429"/>
      <c r="B1708" s="75">
        <v>85503</v>
      </c>
      <c r="C1708" s="74"/>
      <c r="D1708" s="176"/>
      <c r="E1708" s="175" t="s">
        <v>390</v>
      </c>
      <c r="F1708" s="409" t="e">
        <f>F1709+#REF!</f>
        <v>#REF!</v>
      </c>
      <c r="G1708" s="409" t="e">
        <f>G1709+#REF!</f>
        <v>#REF!</v>
      </c>
      <c r="H1708" s="409" t="e">
        <f>H1709+#REF!</f>
        <v>#REF!</v>
      </c>
      <c r="I1708" s="409" t="e">
        <f>I1709+#REF!</f>
        <v>#REF!</v>
      </c>
      <c r="J1708" s="409" t="e">
        <f>J1709+#REF!</f>
        <v>#REF!</v>
      </c>
      <c r="K1708" s="409" t="e">
        <f>K1709+#REF!</f>
        <v>#REF!</v>
      </c>
      <c r="L1708" s="92">
        <f>L1709+L1710</f>
        <v>0</v>
      </c>
      <c r="M1708" s="92">
        <f t="shared" ref="M1708:N1708" si="180">M1709+M1710</f>
        <v>300</v>
      </c>
      <c r="N1708" s="92">
        <f t="shared" si="180"/>
        <v>291.7</v>
      </c>
      <c r="O1708" s="755">
        <f t="shared" ref="O1708:O1713" si="181">N1708/M1708</f>
        <v>0.97233333333333327</v>
      </c>
      <c r="P1708" s="780" t="s">
        <v>395</v>
      </c>
      <c r="Q1708" s="664"/>
    </row>
    <row r="1709" spans="1:18" s="430" customFormat="1" ht="58.2" customHeight="1">
      <c r="A1709" s="429"/>
      <c r="B1709" s="465"/>
      <c r="C1709" s="449">
        <v>1</v>
      </c>
      <c r="D1709" s="445"/>
      <c r="E1709" s="446" t="s">
        <v>389</v>
      </c>
      <c r="F1709" s="419">
        <v>6073000</v>
      </c>
      <c r="G1709" s="419"/>
      <c r="H1709" s="419"/>
      <c r="I1709" s="419"/>
      <c r="J1709" s="419"/>
      <c r="K1709" s="419"/>
      <c r="L1709" s="419">
        <v>0</v>
      </c>
      <c r="M1709" s="419">
        <v>70</v>
      </c>
      <c r="N1709" s="419">
        <v>69.78</v>
      </c>
      <c r="O1709" s="845">
        <f t="shared" si="181"/>
        <v>0.99685714285714289</v>
      </c>
      <c r="P1709" s="792" t="s">
        <v>395</v>
      </c>
      <c r="Q1709" s="664"/>
    </row>
    <row r="1710" spans="1:18" s="430" customFormat="1" ht="117.75" customHeight="1">
      <c r="A1710" s="429"/>
      <c r="B1710" s="1140"/>
      <c r="C1710" s="1141">
        <v>2</v>
      </c>
      <c r="D1710" s="203"/>
      <c r="E1710" s="569" t="s">
        <v>685</v>
      </c>
      <c r="F1710" s="476">
        <v>6073000</v>
      </c>
      <c r="G1710" s="101"/>
      <c r="H1710" s="101"/>
      <c r="I1710" s="101"/>
      <c r="J1710" s="101"/>
      <c r="K1710" s="101"/>
      <c r="L1710" s="101">
        <v>0</v>
      </c>
      <c r="M1710" s="101">
        <v>230</v>
      </c>
      <c r="N1710" s="101">
        <v>221.92</v>
      </c>
      <c r="O1710" s="871">
        <f t="shared" si="181"/>
        <v>0.9648695652173912</v>
      </c>
      <c r="P1710" s="792" t="s">
        <v>395</v>
      </c>
      <c r="Q1710" s="664"/>
    </row>
    <row r="1711" spans="1:18" s="230" customFormat="1" ht="59.25" customHeight="1">
      <c r="A1711" s="429"/>
      <c r="B1711" s="75">
        <v>85504</v>
      </c>
      <c r="C1711" s="74"/>
      <c r="D1711" s="176"/>
      <c r="E1711" s="385" t="s">
        <v>142</v>
      </c>
      <c r="F1711" s="409">
        <f t="shared" ref="F1711:K1711" si="182">F1712</f>
        <v>0</v>
      </c>
      <c r="G1711" s="409">
        <f t="shared" si="182"/>
        <v>0</v>
      </c>
      <c r="H1711" s="409">
        <f t="shared" si="182"/>
        <v>0</v>
      </c>
      <c r="I1711" s="409">
        <f t="shared" si="182"/>
        <v>0</v>
      </c>
      <c r="J1711" s="409">
        <f t="shared" si="182"/>
        <v>0</v>
      </c>
      <c r="K1711" s="409">
        <f t="shared" si="182"/>
        <v>200000</v>
      </c>
      <c r="L1711" s="92">
        <f>L1712+L1719</f>
        <v>200000</v>
      </c>
      <c r="M1711" s="92">
        <f t="shared" ref="M1711:N1711" si="183">M1712+M1719</f>
        <v>210000</v>
      </c>
      <c r="N1711" s="92">
        <f t="shared" si="183"/>
        <v>100438.49</v>
      </c>
      <c r="O1711" s="755">
        <f t="shared" si="181"/>
        <v>0.47827852380952385</v>
      </c>
      <c r="P1711" s="791" t="s">
        <v>395</v>
      </c>
      <c r="Q1711" s="674"/>
    </row>
    <row r="1712" spans="1:18" s="570" customFormat="1" ht="120.75" customHeight="1">
      <c r="A1712" s="429"/>
      <c r="B1712" s="465"/>
      <c r="C1712" s="449">
        <v>1</v>
      </c>
      <c r="D1712" s="445"/>
      <c r="E1712" s="569" t="s">
        <v>269</v>
      </c>
      <c r="F1712" s="447"/>
      <c r="G1712" s="419"/>
      <c r="H1712" s="419"/>
      <c r="I1712" s="419"/>
      <c r="J1712" s="419"/>
      <c r="K1712" s="419">
        <v>200000</v>
      </c>
      <c r="L1712" s="419">
        <f>L1713+L1714+L1715+L1716+L1717+L1718</f>
        <v>200000</v>
      </c>
      <c r="M1712" s="419">
        <f t="shared" ref="M1712:N1712" si="184">M1713+M1714+M1715+M1716+M1717+M1718</f>
        <v>200000</v>
      </c>
      <c r="N1712" s="419">
        <f t="shared" si="184"/>
        <v>100438.49</v>
      </c>
      <c r="O1712" s="845">
        <f t="shared" si="181"/>
        <v>0.50219245000000001</v>
      </c>
      <c r="P1712" s="781" t="s">
        <v>395</v>
      </c>
      <c r="Q1712" s="665"/>
    </row>
    <row r="1713" spans="1:18" s="1131" customFormat="1" ht="105" customHeight="1">
      <c r="A1713" s="1059"/>
      <c r="B1713" s="1122"/>
      <c r="C1713" s="1061"/>
      <c r="D1713" s="1062"/>
      <c r="E1713" s="1123" t="s">
        <v>686</v>
      </c>
      <c r="F1713" s="1124"/>
      <c r="G1713" s="1124"/>
      <c r="H1713" s="1124"/>
      <c r="I1713" s="1124"/>
      <c r="J1713" s="1125"/>
      <c r="K1713" s="1125"/>
      <c r="L1713" s="1074">
        <v>123000</v>
      </c>
      <c r="M1713" s="1074">
        <v>123000</v>
      </c>
      <c r="N1713" s="1074">
        <v>55848.44</v>
      </c>
      <c r="O1713" s="1075">
        <f t="shared" si="181"/>
        <v>0.45405235772357727</v>
      </c>
      <c r="P1713" s="1129" t="s">
        <v>395</v>
      </c>
      <c r="Q1713" s="832"/>
      <c r="R1713" s="1130"/>
    </row>
    <row r="1714" spans="1:18" s="1087" customFormat="1" ht="52.5" customHeight="1">
      <c r="A1714" s="1076"/>
      <c r="B1714" s="1077"/>
      <c r="C1714" s="1078"/>
      <c r="D1714" s="1079"/>
      <c r="E1714" s="1071" t="s">
        <v>687</v>
      </c>
      <c r="F1714" s="1080"/>
      <c r="G1714" s="1080"/>
      <c r="H1714" s="1080"/>
      <c r="I1714" s="1080"/>
      <c r="J1714" s="1081"/>
      <c r="K1714" s="1081"/>
      <c r="L1714" s="1082">
        <v>72000</v>
      </c>
      <c r="M1714" s="1082">
        <v>72000</v>
      </c>
      <c r="N1714" s="1074">
        <v>41945.65</v>
      </c>
      <c r="O1714" s="1075">
        <f t="shared" ref="O1714:O1715" si="185">N1714/M1714</f>
        <v>0.58257847222222225</v>
      </c>
      <c r="P1714" s="1084" t="s">
        <v>395</v>
      </c>
      <c r="Q1714" s="1085"/>
      <c r="R1714" s="1086"/>
    </row>
    <row r="1715" spans="1:18" s="1087" customFormat="1" ht="60.75" customHeight="1">
      <c r="A1715" s="1076"/>
      <c r="B1715" s="1077"/>
      <c r="C1715" s="1078"/>
      <c r="D1715" s="1079"/>
      <c r="E1715" s="1123" t="s">
        <v>688</v>
      </c>
      <c r="F1715" s="1080"/>
      <c r="G1715" s="1080"/>
      <c r="H1715" s="1080"/>
      <c r="I1715" s="1080"/>
      <c r="J1715" s="1081"/>
      <c r="K1715" s="1081"/>
      <c r="L1715" s="1082">
        <v>500</v>
      </c>
      <c r="M1715" s="1082">
        <v>500</v>
      </c>
      <c r="N1715" s="1074">
        <v>215.8</v>
      </c>
      <c r="O1715" s="1075">
        <f t="shared" si="185"/>
        <v>0.43160000000000004</v>
      </c>
      <c r="P1715" s="1084" t="s">
        <v>395</v>
      </c>
      <c r="Q1715" s="1085"/>
      <c r="R1715" s="1086"/>
    </row>
    <row r="1716" spans="1:18" s="1087" customFormat="1" ht="52.5" customHeight="1">
      <c r="A1716" s="1076"/>
      <c r="B1716" s="1077"/>
      <c r="C1716" s="1078"/>
      <c r="D1716" s="1079"/>
      <c r="E1716" s="1071" t="s">
        <v>690</v>
      </c>
      <c r="F1716" s="1080"/>
      <c r="G1716" s="1080"/>
      <c r="H1716" s="1080"/>
      <c r="I1716" s="1080"/>
      <c r="J1716" s="1081"/>
      <c r="K1716" s="1081"/>
      <c r="L1716" s="1082">
        <v>1728</v>
      </c>
      <c r="M1716" s="1082">
        <v>1728</v>
      </c>
      <c r="N1716" s="1074">
        <v>649.6</v>
      </c>
      <c r="O1716" s="1075">
        <v>0</v>
      </c>
      <c r="P1716" s="1084" t="s">
        <v>395</v>
      </c>
      <c r="Q1716" s="1085"/>
      <c r="R1716" s="1086"/>
    </row>
    <row r="1717" spans="1:18" s="1087" customFormat="1" ht="52.5" customHeight="1">
      <c r="A1717" s="1076"/>
      <c r="B1717" s="1077"/>
      <c r="C1717" s="1078"/>
      <c r="D1717" s="1079"/>
      <c r="E1717" s="1071" t="s">
        <v>657</v>
      </c>
      <c r="F1717" s="1080"/>
      <c r="G1717" s="1080"/>
      <c r="H1717" s="1080"/>
      <c r="I1717" s="1080"/>
      <c r="J1717" s="1081"/>
      <c r="K1717" s="1081"/>
      <c r="L1717" s="1082">
        <v>2372</v>
      </c>
      <c r="M1717" s="1082">
        <v>2372</v>
      </c>
      <c r="N1717" s="1074">
        <v>1779</v>
      </c>
      <c r="O1717" s="1075">
        <f t="shared" ref="O1717:O1718" si="186">N1717/M1717</f>
        <v>0.75</v>
      </c>
      <c r="P1717" s="1084" t="s">
        <v>395</v>
      </c>
      <c r="Q1717" s="1085"/>
      <c r="R1717" s="1086"/>
    </row>
    <row r="1718" spans="1:18" s="1087" customFormat="1" ht="52.5" customHeight="1">
      <c r="A1718" s="1076"/>
      <c r="B1718" s="1077"/>
      <c r="C1718" s="1078"/>
      <c r="D1718" s="1079"/>
      <c r="E1718" s="1071" t="s">
        <v>689</v>
      </c>
      <c r="F1718" s="1080"/>
      <c r="G1718" s="1080"/>
      <c r="H1718" s="1080"/>
      <c r="I1718" s="1080"/>
      <c r="J1718" s="1081"/>
      <c r="K1718" s="1081"/>
      <c r="L1718" s="1082">
        <v>400</v>
      </c>
      <c r="M1718" s="1082">
        <v>400</v>
      </c>
      <c r="N1718" s="1074">
        <v>0</v>
      </c>
      <c r="O1718" s="1075">
        <f t="shared" si="186"/>
        <v>0</v>
      </c>
      <c r="P1718" s="1084" t="s">
        <v>395</v>
      </c>
      <c r="Q1718" s="1085"/>
      <c r="R1718" s="1086"/>
    </row>
    <row r="1719" spans="1:18" s="430" customFormat="1" ht="114.75" customHeight="1">
      <c r="A1719" s="987"/>
      <c r="B1719" s="1093"/>
      <c r="C1719" s="571">
        <v>1</v>
      </c>
      <c r="D1719" s="572"/>
      <c r="E1719" s="569" t="s">
        <v>691</v>
      </c>
      <c r="F1719" s="564">
        <v>5538000</v>
      </c>
      <c r="G1719" s="564"/>
      <c r="H1719" s="564"/>
      <c r="I1719" s="564"/>
      <c r="J1719" s="564"/>
      <c r="K1719" s="564"/>
      <c r="L1719" s="564">
        <f>L1720+L1724</f>
        <v>0</v>
      </c>
      <c r="M1719" s="564">
        <f t="shared" ref="M1719:N1719" si="187">M1720+M1724</f>
        <v>10000</v>
      </c>
      <c r="N1719" s="564">
        <f t="shared" si="187"/>
        <v>0</v>
      </c>
      <c r="O1719" s="763">
        <f>N1719/M1719</f>
        <v>0</v>
      </c>
      <c r="P1719" s="991" t="s">
        <v>395</v>
      </c>
      <c r="Q1719" s="908"/>
      <c r="R1719" s="951"/>
    </row>
    <row r="1720" spans="1:18" s="927" customFormat="1" ht="50.1" customHeight="1">
      <c r="A1720" s="1049"/>
      <c r="B1720" s="918"/>
      <c r="C1720" s="1050"/>
      <c r="D1720" s="920" t="s">
        <v>411</v>
      </c>
      <c r="E1720" s="921" t="s">
        <v>412</v>
      </c>
      <c r="F1720" s="1051">
        <f>100045+11595+59000+2740</f>
        <v>173380</v>
      </c>
      <c r="G1720" s="1051">
        <f>G1721</f>
        <v>0</v>
      </c>
      <c r="H1720" s="1051">
        <f>H1721</f>
        <v>0</v>
      </c>
      <c r="I1720" s="1051">
        <f>I1721</f>
        <v>0</v>
      </c>
      <c r="J1720" s="1051">
        <f>J1721</f>
        <v>0</v>
      </c>
      <c r="K1720" s="1051">
        <f>K1721</f>
        <v>0</v>
      </c>
      <c r="L1720" s="1135">
        <f>SUM(L1722:L1723)</f>
        <v>0</v>
      </c>
      <c r="M1720" s="1135">
        <f>SUM(M1722:M1723)</f>
        <v>6897</v>
      </c>
      <c r="N1720" s="1135">
        <f>SUM(N1722:N1723)</f>
        <v>0</v>
      </c>
      <c r="O1720" s="1136">
        <f>N1720/M1720</f>
        <v>0</v>
      </c>
      <c r="P1720" s="924" t="s">
        <v>395</v>
      </c>
      <c r="Q1720" s="925"/>
      <c r="R1720" s="926"/>
    </row>
    <row r="1721" spans="1:18" s="1104" customFormat="1" ht="32.25" customHeight="1">
      <c r="A1721" s="1049"/>
      <c r="B1721" s="1097"/>
      <c r="C1721" s="1050"/>
      <c r="D1721" s="920"/>
      <c r="E1721" s="1098" t="s">
        <v>13</v>
      </c>
      <c r="F1721" s="1099"/>
      <c r="G1721" s="1099"/>
      <c r="H1721" s="1099"/>
      <c r="I1721" s="1099"/>
      <c r="J1721" s="1100"/>
      <c r="K1721" s="1100"/>
      <c r="L1721" s="1137"/>
      <c r="M1721" s="1137"/>
      <c r="N1721" s="1137"/>
      <c r="O1721" s="1136"/>
      <c r="P1721" s="1102"/>
      <c r="Q1721" s="1040"/>
      <c r="R1721" s="1103"/>
    </row>
    <row r="1722" spans="1:18" s="941" customFormat="1" ht="45.75" customHeight="1">
      <c r="A1722" s="1053"/>
      <c r="B1722" s="929"/>
      <c r="C1722" s="1054"/>
      <c r="D1722" s="931"/>
      <c r="E1722" s="932" t="s">
        <v>683</v>
      </c>
      <c r="F1722" s="1055"/>
      <c r="G1722" s="1055"/>
      <c r="H1722" s="1055"/>
      <c r="I1722" s="1055"/>
      <c r="J1722" s="1056"/>
      <c r="K1722" s="1056"/>
      <c r="L1722" s="1089">
        <v>0</v>
      </c>
      <c r="M1722" s="1089">
        <v>5747</v>
      </c>
      <c r="N1722" s="1091">
        <v>0</v>
      </c>
      <c r="O1722" s="1090">
        <f t="shared" ref="O1722:O1723" si="188">N1722/M1722</f>
        <v>0</v>
      </c>
      <c r="P1722" s="938" t="s">
        <v>395</v>
      </c>
      <c r="Q1722" s="939"/>
      <c r="R1722" s="940"/>
    </row>
    <row r="1723" spans="1:18" s="941" customFormat="1" ht="45.75" customHeight="1">
      <c r="A1723" s="1053"/>
      <c r="B1723" s="929"/>
      <c r="C1723" s="1054"/>
      <c r="D1723" s="931"/>
      <c r="E1723" s="932" t="s">
        <v>684</v>
      </c>
      <c r="F1723" s="1055"/>
      <c r="G1723" s="1055"/>
      <c r="H1723" s="1055"/>
      <c r="I1723" s="1055"/>
      <c r="J1723" s="1056"/>
      <c r="K1723" s="1056"/>
      <c r="L1723" s="1089">
        <v>0</v>
      </c>
      <c r="M1723" s="1089">
        <f>1063+87</f>
        <v>1150</v>
      </c>
      <c r="N1723" s="1091">
        <v>0</v>
      </c>
      <c r="O1723" s="1090">
        <f t="shared" si="188"/>
        <v>0</v>
      </c>
      <c r="P1723" s="938" t="s">
        <v>395</v>
      </c>
      <c r="Q1723" s="939"/>
      <c r="R1723" s="940"/>
    </row>
    <row r="1724" spans="1:18" s="1070" customFormat="1" ht="50.1" customHeight="1">
      <c r="A1724" s="1059"/>
      <c r="B1724" s="1060"/>
      <c r="C1724" s="1061"/>
      <c r="D1724" s="1062" t="s">
        <v>417</v>
      </c>
      <c r="E1724" s="1063" t="s">
        <v>418</v>
      </c>
      <c r="F1724" s="1064">
        <f>7550+500+500+5500+6300</f>
        <v>20350</v>
      </c>
      <c r="G1724" s="1064"/>
      <c r="H1724" s="1064"/>
      <c r="I1724" s="1064"/>
      <c r="J1724" s="1065"/>
      <c r="K1724" s="1120"/>
      <c r="L1724" s="1138">
        <f>L1726+L1727</f>
        <v>0</v>
      </c>
      <c r="M1724" s="1138">
        <f t="shared" ref="M1724:N1724" si="189">M1726+M1727</f>
        <v>3103</v>
      </c>
      <c r="N1724" s="1138">
        <f t="shared" si="189"/>
        <v>0</v>
      </c>
      <c r="O1724" s="1139">
        <f>N1724/M1724</f>
        <v>0</v>
      </c>
      <c r="P1724" s="1067" t="s">
        <v>395</v>
      </c>
      <c r="Q1724" s="1068"/>
      <c r="R1724" s="1069"/>
    </row>
    <row r="1725" spans="1:18" s="1131" customFormat="1" ht="30" customHeight="1">
      <c r="A1725" s="1059"/>
      <c r="B1725" s="1122"/>
      <c r="C1725" s="1061"/>
      <c r="D1725" s="1062"/>
      <c r="E1725" s="1123" t="s">
        <v>13</v>
      </c>
      <c r="F1725" s="1124"/>
      <c r="G1725" s="1124"/>
      <c r="H1725" s="1124"/>
      <c r="I1725" s="1124"/>
      <c r="J1725" s="1125"/>
      <c r="K1725" s="1126"/>
      <c r="L1725" s="1127"/>
      <c r="M1725" s="1125"/>
      <c r="N1725" s="1125"/>
      <c r="O1725" s="1128"/>
      <c r="P1725" s="1129"/>
      <c r="Q1725" s="832"/>
      <c r="R1725" s="1130"/>
    </row>
    <row r="1726" spans="1:18" s="1131" customFormat="1" ht="45.75" customHeight="1">
      <c r="A1726" s="1059"/>
      <c r="B1726" s="1122"/>
      <c r="C1726" s="1061"/>
      <c r="D1726" s="1062"/>
      <c r="E1726" s="1123" t="s">
        <v>769</v>
      </c>
      <c r="F1726" s="1124"/>
      <c r="G1726" s="1124"/>
      <c r="H1726" s="1124"/>
      <c r="I1726" s="1124"/>
      <c r="J1726" s="1125"/>
      <c r="K1726" s="1125"/>
      <c r="L1726" s="1074">
        <v>0</v>
      </c>
      <c r="M1726" s="1074">
        <v>2753</v>
      </c>
      <c r="N1726" s="1074">
        <v>0</v>
      </c>
      <c r="O1726" s="1075">
        <f>N1726/M1726</f>
        <v>0</v>
      </c>
      <c r="P1726" s="1129" t="s">
        <v>395</v>
      </c>
      <c r="Q1726" s="832"/>
      <c r="R1726" s="1130"/>
    </row>
    <row r="1727" spans="1:18" s="1087" customFormat="1" ht="45.75" customHeight="1">
      <c r="A1727" s="1076"/>
      <c r="B1727" s="1077"/>
      <c r="C1727" s="1078"/>
      <c r="D1727" s="1079"/>
      <c r="E1727" s="1071" t="s">
        <v>770</v>
      </c>
      <c r="F1727" s="1080"/>
      <c r="G1727" s="1080"/>
      <c r="H1727" s="1080"/>
      <c r="I1727" s="1080"/>
      <c r="J1727" s="1081"/>
      <c r="K1727" s="1081"/>
      <c r="L1727" s="1082">
        <v>0</v>
      </c>
      <c r="M1727" s="1082">
        <v>350</v>
      </c>
      <c r="N1727" s="1074">
        <v>0</v>
      </c>
      <c r="O1727" s="1075">
        <f t="shared" ref="O1727" si="190">N1727/M1727</f>
        <v>0</v>
      </c>
      <c r="P1727" s="1084" t="s">
        <v>395</v>
      </c>
      <c r="Q1727" s="1085"/>
      <c r="R1727" s="1086"/>
    </row>
    <row r="1728" spans="1:18" s="230" customFormat="1" ht="59.25" customHeight="1">
      <c r="A1728" s="429"/>
      <c r="B1728" s="75">
        <v>85505</v>
      </c>
      <c r="C1728" s="74"/>
      <c r="D1728" s="176"/>
      <c r="E1728" s="385" t="s">
        <v>299</v>
      </c>
      <c r="F1728" s="409">
        <f>SUM(F1729:F1730)</f>
        <v>0</v>
      </c>
      <c r="G1728" s="409">
        <f t="shared" ref="G1728:L1728" si="191">SUM(G1729:G1730)</f>
        <v>0</v>
      </c>
      <c r="H1728" s="409">
        <f t="shared" si="191"/>
        <v>0</v>
      </c>
      <c r="I1728" s="409">
        <f t="shared" si="191"/>
        <v>0</v>
      </c>
      <c r="J1728" s="409">
        <f t="shared" si="191"/>
        <v>0</v>
      </c>
      <c r="K1728" s="409">
        <f t="shared" si="191"/>
        <v>104400</v>
      </c>
      <c r="L1728" s="92">
        <f t="shared" si="191"/>
        <v>104400</v>
      </c>
      <c r="M1728" s="92">
        <f>M1729+M1730</f>
        <v>132900</v>
      </c>
      <c r="N1728" s="92">
        <f>N1729+N1730</f>
        <v>57300</v>
      </c>
      <c r="O1728" s="755">
        <f t="shared" ref="O1728:O1733" si="192">N1728/M1728</f>
        <v>0.43115124153498874</v>
      </c>
      <c r="P1728" s="791" t="s">
        <v>395</v>
      </c>
      <c r="Q1728" s="674"/>
    </row>
    <row r="1729" spans="1:32" s="434" customFormat="1" ht="69.75" customHeight="1">
      <c r="A1729" s="559"/>
      <c r="B1729" s="471"/>
      <c r="C1729" s="560" t="s">
        <v>21</v>
      </c>
      <c r="D1729" s="561"/>
      <c r="E1729" s="562" t="s">
        <v>300</v>
      </c>
      <c r="F1729" s="563"/>
      <c r="G1729" s="563"/>
      <c r="H1729" s="563"/>
      <c r="I1729" s="563"/>
      <c r="J1729" s="563"/>
      <c r="K1729" s="565">
        <v>43200</v>
      </c>
      <c r="L1729" s="564">
        <f>SUM(F1729:K1729)</f>
        <v>43200</v>
      </c>
      <c r="M1729" s="564">
        <v>56700</v>
      </c>
      <c r="N1729" s="564">
        <v>22200</v>
      </c>
      <c r="O1729" s="763">
        <f t="shared" si="192"/>
        <v>0.39153439153439151</v>
      </c>
      <c r="P1729" s="765" t="s">
        <v>395</v>
      </c>
      <c r="Q1729" s="651"/>
    </row>
    <row r="1730" spans="1:32" s="434" customFormat="1" ht="69.75" customHeight="1">
      <c r="A1730" s="559"/>
      <c r="B1730" s="471"/>
      <c r="C1730" s="560" t="s">
        <v>52</v>
      </c>
      <c r="D1730" s="561"/>
      <c r="E1730" s="562" t="s">
        <v>301</v>
      </c>
      <c r="F1730" s="563"/>
      <c r="G1730" s="563"/>
      <c r="H1730" s="563"/>
      <c r="I1730" s="563"/>
      <c r="J1730" s="563"/>
      <c r="K1730" s="565">
        <v>61200</v>
      </c>
      <c r="L1730" s="564">
        <f>SUM(F1730:K1730)</f>
        <v>61200</v>
      </c>
      <c r="M1730" s="564">
        <v>76200</v>
      </c>
      <c r="N1730" s="564">
        <v>35100</v>
      </c>
      <c r="O1730" s="763">
        <f t="shared" si="192"/>
        <v>0.46062992125984253</v>
      </c>
      <c r="P1730" s="765" t="s">
        <v>395</v>
      </c>
      <c r="Q1730" s="651"/>
    </row>
    <row r="1731" spans="1:32" s="76" customFormat="1" ht="57.75" customHeight="1">
      <c r="A1731" s="83">
        <v>17</v>
      </c>
      <c r="B1731" s="82">
        <v>900</v>
      </c>
      <c r="C1731" s="81"/>
      <c r="D1731" s="80"/>
      <c r="E1731" s="79" t="s">
        <v>19</v>
      </c>
      <c r="F1731" s="78">
        <f>F1732+F1738+F1743+F1752+F1759</f>
        <v>0</v>
      </c>
      <c r="G1731" s="78">
        <f>G1732+G1738+G1743+G1752+G1759</f>
        <v>0</v>
      </c>
      <c r="H1731" s="78">
        <f>H1732+H1738+H1743+H1752+H1759</f>
        <v>0</v>
      </c>
      <c r="I1731" s="78">
        <f>I1732+I1738+I1743+I1752+I1759</f>
        <v>0</v>
      </c>
      <c r="J1731" s="78">
        <f>J1732+J1738+J1743+J1752+J1759</f>
        <v>0</v>
      </c>
      <c r="K1731" s="78">
        <f>K1732+K1738+K1743+K1752+K1759</f>
        <v>4372687.8099999996</v>
      </c>
      <c r="L1731" s="77">
        <f>L1732+L1738+L1743+L1752+L1759</f>
        <v>4372687.8099999996</v>
      </c>
      <c r="M1731" s="77">
        <f>M1732+M1738+M1743+M1752+M1759</f>
        <v>4420544.13</v>
      </c>
      <c r="N1731" s="77">
        <f>N1732+N1738+N1743+N1752+N1759</f>
        <v>2035643.07</v>
      </c>
      <c r="O1731" s="834">
        <f t="shared" si="192"/>
        <v>0.46049604078944012</v>
      </c>
      <c r="P1731" s="764" t="s">
        <v>395</v>
      </c>
      <c r="Q1731" s="650"/>
    </row>
    <row r="1732" spans="1:32" s="155" customFormat="1" ht="64.5" customHeight="1">
      <c r="A1732" s="643"/>
      <c r="B1732" s="163">
        <v>90002</v>
      </c>
      <c r="C1732" s="162"/>
      <c r="D1732" s="161"/>
      <c r="E1732" s="168" t="s">
        <v>18</v>
      </c>
      <c r="F1732" s="160">
        <f>F1733+F1736</f>
        <v>0</v>
      </c>
      <c r="G1732" s="160">
        <f>G1733+G1736</f>
        <v>0</v>
      </c>
      <c r="H1732" s="160">
        <f>H1733+H1736</f>
        <v>0</v>
      </c>
      <c r="I1732" s="160">
        <f>I1733+I1736</f>
        <v>0</v>
      </c>
      <c r="J1732" s="160">
        <f>J1733+J1736</f>
        <v>0</v>
      </c>
      <c r="K1732" s="160">
        <f>K1733+K1736</f>
        <v>2525000</v>
      </c>
      <c r="L1732" s="159">
        <f>SUM(F1732:K1732)</f>
        <v>2525000</v>
      </c>
      <c r="M1732" s="159">
        <f>M1733+M1736</f>
        <v>2533099.67</v>
      </c>
      <c r="N1732" s="159">
        <f>N1733+N1736</f>
        <v>1128052.73</v>
      </c>
      <c r="O1732" s="891">
        <f t="shared" si="192"/>
        <v>0.44532504715852733</v>
      </c>
      <c r="P1732" s="778" t="s">
        <v>395</v>
      </c>
      <c r="Q1732" s="662"/>
      <c r="R1732" s="156"/>
      <c r="S1732" s="156"/>
      <c r="T1732" s="156"/>
      <c r="U1732" s="156"/>
      <c r="V1732" s="156"/>
      <c r="W1732" s="156"/>
      <c r="X1732" s="156"/>
      <c r="Y1732" s="156"/>
      <c r="Z1732" s="156"/>
      <c r="AA1732" s="156"/>
      <c r="AB1732" s="156"/>
      <c r="AC1732" s="156"/>
      <c r="AD1732" s="156"/>
      <c r="AE1732" s="156"/>
      <c r="AF1732" s="156"/>
    </row>
    <row r="1733" spans="1:32" s="410" customFormat="1" ht="105.75" customHeight="1">
      <c r="A1733" s="573"/>
      <c r="B1733" s="574"/>
      <c r="C1733" s="575">
        <v>1</v>
      </c>
      <c r="D1733" s="576"/>
      <c r="E1733" s="577" t="s">
        <v>245</v>
      </c>
      <c r="F1733" s="578"/>
      <c r="G1733" s="579"/>
      <c r="H1733" s="564"/>
      <c r="I1733" s="564"/>
      <c r="J1733" s="564"/>
      <c r="K1733" s="564">
        <v>2500000</v>
      </c>
      <c r="L1733" s="564">
        <f>SUM(F1733:K1733)</f>
        <v>2500000</v>
      </c>
      <c r="M1733" s="564">
        <v>2500000</v>
      </c>
      <c r="N1733" s="564">
        <v>1128052.73</v>
      </c>
      <c r="O1733" s="763">
        <f t="shared" si="192"/>
        <v>0.45122109199999999</v>
      </c>
      <c r="P1733" s="796" t="s">
        <v>395</v>
      </c>
      <c r="Q1733" s="684"/>
    </row>
    <row r="1734" spans="1:32" s="431" customFormat="1" ht="39.9" customHeight="1">
      <c r="A1734" s="400"/>
      <c r="B1734" s="61"/>
      <c r="C1734" s="60"/>
      <c r="D1734" s="443"/>
      <c r="E1734" s="436" t="s">
        <v>13</v>
      </c>
      <c r="F1734" s="522"/>
      <c r="G1734" s="59"/>
      <c r="H1734" s="59"/>
      <c r="I1734" s="59"/>
      <c r="J1734" s="59"/>
      <c r="K1734" s="59"/>
      <c r="L1734" s="59"/>
      <c r="M1734" s="59"/>
      <c r="N1734" s="59"/>
      <c r="O1734" s="876"/>
      <c r="P1734" s="797" t="s">
        <v>305</v>
      </c>
      <c r="Q1734" s="664"/>
    </row>
    <row r="1735" spans="1:32" s="431" customFormat="1" ht="119.25" customHeight="1">
      <c r="A1735" s="1034"/>
      <c r="B1735" s="1169"/>
      <c r="C1735" s="60"/>
      <c r="D1735" s="443"/>
      <c r="E1735" s="1267" t="s">
        <v>703</v>
      </c>
      <c r="F1735" s="1267"/>
      <c r="G1735" s="1267"/>
      <c r="H1735" s="1267"/>
      <c r="I1735" s="1267"/>
      <c r="J1735" s="1267"/>
      <c r="K1735" s="1267"/>
      <c r="L1735" s="1267"/>
      <c r="M1735" s="1267"/>
      <c r="N1735" s="1267"/>
      <c r="O1735" s="1268"/>
      <c r="P1735" s="664"/>
      <c r="Q1735" s="908"/>
      <c r="R1735" s="664"/>
    </row>
    <row r="1736" spans="1:32" s="410" customFormat="1" ht="140.25" customHeight="1">
      <c r="A1736" s="720"/>
      <c r="B1736" s="721"/>
      <c r="C1736" s="722">
        <v>2</v>
      </c>
      <c r="D1736" s="1308"/>
      <c r="E1736" s="577" t="s">
        <v>192</v>
      </c>
      <c r="F1736" s="578"/>
      <c r="G1736" s="579"/>
      <c r="H1736" s="564"/>
      <c r="I1736" s="564"/>
      <c r="J1736" s="564"/>
      <c r="K1736" s="564">
        <v>25000</v>
      </c>
      <c r="L1736" s="564">
        <f t="shared" ref="L1736:L1749" si="193">SUM(F1736:K1736)</f>
        <v>25000</v>
      </c>
      <c r="M1736" s="564">
        <v>33099.67</v>
      </c>
      <c r="N1736" s="564">
        <v>0</v>
      </c>
      <c r="O1736" s="763">
        <v>0</v>
      </c>
      <c r="P1736" s="766" t="s">
        <v>395</v>
      </c>
      <c r="Q1736" s="649"/>
    </row>
    <row r="1737" spans="1:32" s="410" customFormat="1" ht="56.4" customHeight="1">
      <c r="A1737" s="1309"/>
      <c r="B1737" s="1310"/>
      <c r="C1737" s="1313"/>
      <c r="D1737" s="443"/>
      <c r="E1737" s="1314" t="s">
        <v>745</v>
      </c>
      <c r="F1737" s="1311"/>
      <c r="G1737" s="1311"/>
      <c r="H1737" s="1312"/>
      <c r="I1737" s="1312"/>
      <c r="J1737" s="1312"/>
      <c r="K1737" s="1312"/>
      <c r="L1737" s="980"/>
      <c r="M1737" s="980"/>
      <c r="N1737" s="980"/>
      <c r="O1737" s="981"/>
      <c r="P1737" s="766"/>
      <c r="Q1737" s="649"/>
    </row>
    <row r="1738" spans="1:32" s="155" customFormat="1" ht="60" customHeight="1">
      <c r="A1738" s="643"/>
      <c r="B1738" s="163">
        <v>90003</v>
      </c>
      <c r="C1738" s="162"/>
      <c r="D1738" s="161"/>
      <c r="E1738" s="168" t="s">
        <v>17</v>
      </c>
      <c r="F1738" s="160">
        <f t="shared" ref="F1738:K1738" si="194">SUM(F1739:F1741)</f>
        <v>0</v>
      </c>
      <c r="G1738" s="160">
        <f t="shared" si="194"/>
        <v>0</v>
      </c>
      <c r="H1738" s="160">
        <f t="shared" si="194"/>
        <v>0</v>
      </c>
      <c r="I1738" s="160">
        <f t="shared" si="194"/>
        <v>0</v>
      </c>
      <c r="J1738" s="160">
        <f t="shared" si="194"/>
        <v>0</v>
      </c>
      <c r="K1738" s="160">
        <f t="shared" si="194"/>
        <v>540000</v>
      </c>
      <c r="L1738" s="159">
        <f t="shared" si="193"/>
        <v>540000</v>
      </c>
      <c r="M1738" s="159">
        <f>M1739+M1741</f>
        <v>540000</v>
      </c>
      <c r="N1738" s="159">
        <f>N1739+N1741</f>
        <v>362693.82</v>
      </c>
      <c r="O1738" s="891">
        <f>N1738/M1738</f>
        <v>0.67165522222222218</v>
      </c>
      <c r="P1738" s="778" t="s">
        <v>395</v>
      </c>
      <c r="Q1738" s="662"/>
      <c r="R1738" s="156"/>
      <c r="S1738" s="156"/>
      <c r="T1738" s="156"/>
      <c r="U1738" s="156"/>
      <c r="V1738" s="156"/>
      <c r="W1738" s="156"/>
      <c r="X1738" s="156"/>
      <c r="Y1738" s="156"/>
      <c r="Z1738" s="156"/>
      <c r="AA1738" s="156"/>
      <c r="AB1738" s="156"/>
      <c r="AC1738" s="156"/>
      <c r="AD1738" s="156"/>
      <c r="AE1738" s="156"/>
      <c r="AF1738" s="156"/>
    </row>
    <row r="1739" spans="1:32" s="76" customFormat="1" ht="95.25" customHeight="1">
      <c r="A1739" s="388"/>
      <c r="B1739" s="1154"/>
      <c r="C1739" s="23">
        <v>1</v>
      </c>
      <c r="D1739" s="130"/>
      <c r="E1739" s="1340" t="s">
        <v>173</v>
      </c>
      <c r="F1739" s="1208"/>
      <c r="G1739" s="1316"/>
      <c r="H1739" s="1316"/>
      <c r="I1739" s="1316"/>
      <c r="J1739" s="1316"/>
      <c r="K1739" s="1316">
        <v>320000</v>
      </c>
      <c r="L1739" s="1231">
        <f t="shared" si="193"/>
        <v>320000</v>
      </c>
      <c r="M1739" s="1231">
        <v>320000</v>
      </c>
      <c r="N1739" s="1231">
        <v>187128.82</v>
      </c>
      <c r="O1739" s="892">
        <f>N1739/M1739</f>
        <v>0.58477756250000001</v>
      </c>
      <c r="P1739" s="774" t="s">
        <v>395</v>
      </c>
      <c r="Q1739" s="658"/>
      <c r="R1739" s="139"/>
      <c r="S1739" s="139"/>
      <c r="T1739" s="139"/>
      <c r="U1739" s="139"/>
      <c r="V1739" s="139"/>
      <c r="W1739" s="139"/>
      <c r="X1739" s="139"/>
      <c r="Y1739" s="139"/>
      <c r="Z1739" s="139"/>
      <c r="AA1739" s="139"/>
      <c r="AB1739" s="139"/>
      <c r="AC1739" s="139"/>
      <c r="AD1739" s="139"/>
      <c r="AE1739" s="139"/>
      <c r="AF1739" s="139"/>
    </row>
    <row r="1740" spans="1:32" s="431" customFormat="1" ht="163.5" customHeight="1">
      <c r="A1740" s="1034"/>
      <c r="B1740" s="1169"/>
      <c r="C1740" s="60"/>
      <c r="D1740" s="443"/>
      <c r="E1740" s="1267" t="s">
        <v>771</v>
      </c>
      <c r="F1740" s="1267"/>
      <c r="G1740" s="1267"/>
      <c r="H1740" s="1267"/>
      <c r="I1740" s="1267"/>
      <c r="J1740" s="1267"/>
      <c r="K1740" s="1267"/>
      <c r="L1740" s="1267"/>
      <c r="M1740" s="1267"/>
      <c r="N1740" s="1267"/>
      <c r="O1740" s="1268"/>
      <c r="P1740" s="664"/>
      <c r="Q1740" s="908"/>
      <c r="R1740" s="664"/>
    </row>
    <row r="1741" spans="1:32" s="94" customFormat="1" ht="77.25" customHeight="1">
      <c r="A1741" s="388"/>
      <c r="B1741" s="125"/>
      <c r="C1741" s="384">
        <v>2</v>
      </c>
      <c r="D1741" s="132"/>
      <c r="E1741" s="390" t="s">
        <v>311</v>
      </c>
      <c r="F1741" s="124"/>
      <c r="G1741" s="366"/>
      <c r="H1741" s="366"/>
      <c r="I1741" s="366"/>
      <c r="J1741" s="366"/>
      <c r="K1741" s="366">
        <v>220000</v>
      </c>
      <c r="L1741" s="123">
        <f t="shared" si="193"/>
        <v>220000</v>
      </c>
      <c r="M1741" s="123">
        <v>220000</v>
      </c>
      <c r="N1741" s="123">
        <v>175565</v>
      </c>
      <c r="O1741" s="886">
        <f>N1741/M1741</f>
        <v>0.79802272727272727</v>
      </c>
      <c r="P1741" s="775" t="s">
        <v>395</v>
      </c>
      <c r="Q1741" s="659"/>
      <c r="R1741" s="100"/>
      <c r="S1741" s="100"/>
      <c r="T1741" s="100"/>
      <c r="U1741" s="100"/>
      <c r="V1741" s="100"/>
      <c r="W1741" s="100"/>
      <c r="X1741" s="100"/>
      <c r="Y1741" s="100"/>
      <c r="Z1741" s="100"/>
      <c r="AA1741" s="100"/>
      <c r="AB1741" s="100"/>
      <c r="AC1741" s="100"/>
      <c r="AD1741" s="100"/>
      <c r="AE1741" s="100"/>
      <c r="AF1741" s="100"/>
    </row>
    <row r="1742" spans="1:32" s="431" customFormat="1" ht="110.25" customHeight="1">
      <c r="A1742" s="1034"/>
      <c r="B1742" s="1169"/>
      <c r="C1742" s="60"/>
      <c r="D1742" s="443"/>
      <c r="E1742" s="1267" t="s">
        <v>704</v>
      </c>
      <c r="F1742" s="1267"/>
      <c r="G1742" s="1267"/>
      <c r="H1742" s="1267"/>
      <c r="I1742" s="1267"/>
      <c r="J1742" s="1267"/>
      <c r="K1742" s="1267"/>
      <c r="L1742" s="1267"/>
      <c r="M1742" s="1267"/>
      <c r="N1742" s="1267"/>
      <c r="O1742" s="1268"/>
      <c r="P1742" s="664"/>
      <c r="Q1742" s="908"/>
      <c r="R1742" s="664"/>
    </row>
    <row r="1743" spans="1:32" s="155" customFormat="1" ht="63.75" customHeight="1">
      <c r="A1743" s="637"/>
      <c r="B1743" s="148">
        <v>90004</v>
      </c>
      <c r="C1743" s="147"/>
      <c r="D1743" s="146"/>
      <c r="E1743" s="145" t="s">
        <v>16</v>
      </c>
      <c r="F1743" s="144">
        <f>SUM(F1744:F1749)</f>
        <v>0</v>
      </c>
      <c r="G1743" s="144">
        <f>SUM(G1744:G1749)</f>
        <v>0</v>
      </c>
      <c r="H1743" s="144">
        <f>SUM(H1744:H1749)</f>
        <v>0</v>
      </c>
      <c r="I1743" s="144">
        <f>SUM(I1744:I1749)</f>
        <v>0</v>
      </c>
      <c r="J1743" s="144">
        <f>SUM(J1744:J1749)</f>
        <v>0</v>
      </c>
      <c r="K1743" s="144">
        <f>SUM(K1744:K1750)</f>
        <v>285000</v>
      </c>
      <c r="L1743" s="143">
        <f t="shared" si="193"/>
        <v>285000</v>
      </c>
      <c r="M1743" s="143">
        <f>M1744+M1746+M1748+M1749+M1750</f>
        <v>305000.5</v>
      </c>
      <c r="N1743" s="143">
        <f>N1744+N1746+N1748+N1749+N1750</f>
        <v>82070.53</v>
      </c>
      <c r="O1743" s="864">
        <f>N1743/M1743</f>
        <v>0.26908326379792818</v>
      </c>
      <c r="P1743" s="778" t="s">
        <v>395</v>
      </c>
      <c r="Q1743" s="662"/>
      <c r="R1743" s="156"/>
      <c r="S1743" s="156"/>
      <c r="T1743" s="156"/>
      <c r="U1743" s="156"/>
      <c r="V1743" s="156"/>
      <c r="W1743" s="156"/>
      <c r="X1743" s="156"/>
      <c r="Y1743" s="156"/>
      <c r="Z1743" s="156"/>
      <c r="AA1743" s="156"/>
      <c r="AB1743" s="156"/>
      <c r="AC1743" s="156"/>
      <c r="AD1743" s="156"/>
      <c r="AE1743" s="156"/>
      <c r="AF1743" s="156"/>
    </row>
    <row r="1744" spans="1:32" s="410" customFormat="1" ht="57" customHeight="1">
      <c r="A1744" s="1153"/>
      <c r="B1744" s="1154"/>
      <c r="C1744" s="23">
        <v>1</v>
      </c>
      <c r="D1744" s="130"/>
      <c r="E1744" s="1315" t="s">
        <v>772</v>
      </c>
      <c r="F1744" s="1208"/>
      <c r="G1744" s="1316"/>
      <c r="H1744" s="1316"/>
      <c r="I1744" s="1316"/>
      <c r="J1744" s="1316"/>
      <c r="K1744" s="1316">
        <v>130000</v>
      </c>
      <c r="L1744" s="1231">
        <f t="shared" si="193"/>
        <v>130000</v>
      </c>
      <c r="M1744" s="1231">
        <v>130000</v>
      </c>
      <c r="N1744" s="1231">
        <v>47308.2</v>
      </c>
      <c r="O1744" s="1232">
        <f>N1744/M1744</f>
        <v>0.36390923076923076</v>
      </c>
      <c r="P1744" s="775" t="s">
        <v>395</v>
      </c>
      <c r="Q1744" s="659"/>
      <c r="R1744" s="100"/>
      <c r="S1744" s="100"/>
      <c r="T1744" s="100"/>
      <c r="U1744" s="100"/>
      <c r="V1744" s="100"/>
      <c r="W1744" s="100"/>
      <c r="X1744" s="100"/>
      <c r="Y1744" s="100"/>
      <c r="Z1744" s="100"/>
      <c r="AA1744" s="100"/>
      <c r="AB1744" s="100"/>
      <c r="AC1744" s="100"/>
      <c r="AD1744" s="100"/>
      <c r="AE1744" s="100"/>
      <c r="AF1744" s="100"/>
    </row>
    <row r="1745" spans="1:32" s="442" customFormat="1" ht="84.75" customHeight="1">
      <c r="A1745" s="1034"/>
      <c r="B1745" s="1169"/>
      <c r="C1745" s="60"/>
      <c r="D1745" s="443"/>
      <c r="E1745" s="1267" t="s">
        <v>705</v>
      </c>
      <c r="F1745" s="1267"/>
      <c r="G1745" s="1267"/>
      <c r="H1745" s="1267"/>
      <c r="I1745" s="1267"/>
      <c r="J1745" s="1267"/>
      <c r="K1745" s="1267"/>
      <c r="L1745" s="1267"/>
      <c r="M1745" s="1267"/>
      <c r="N1745" s="1267"/>
      <c r="O1745" s="1268"/>
      <c r="P1745" s="665"/>
      <c r="Q1745" s="994"/>
      <c r="R1745" s="665"/>
    </row>
    <row r="1746" spans="1:32" s="410" customFormat="1" ht="122.25" customHeight="1">
      <c r="A1746" s="1153"/>
      <c r="B1746" s="1154"/>
      <c r="C1746" s="1321">
        <v>2</v>
      </c>
      <c r="D1746" s="1322"/>
      <c r="E1746" s="596" t="s">
        <v>353</v>
      </c>
      <c r="F1746" s="588"/>
      <c r="G1746" s="595"/>
      <c r="H1746" s="595"/>
      <c r="I1746" s="595"/>
      <c r="J1746" s="595"/>
      <c r="K1746" s="595">
        <v>60000</v>
      </c>
      <c r="L1746" s="589">
        <f t="shared" si="193"/>
        <v>60000</v>
      </c>
      <c r="M1746" s="589">
        <v>80000.5</v>
      </c>
      <c r="N1746" s="589">
        <v>0</v>
      </c>
      <c r="O1746" s="826">
        <v>0</v>
      </c>
      <c r="P1746" s="775" t="s">
        <v>395</v>
      </c>
      <c r="Q1746" s="659"/>
      <c r="R1746" s="100"/>
      <c r="S1746" s="100"/>
      <c r="T1746" s="100"/>
      <c r="U1746" s="100"/>
      <c r="V1746" s="100"/>
      <c r="W1746" s="100"/>
      <c r="X1746" s="100"/>
      <c r="Y1746" s="100"/>
      <c r="Z1746" s="100"/>
      <c r="AA1746" s="100"/>
      <c r="AB1746" s="100"/>
      <c r="AC1746" s="100"/>
      <c r="AD1746" s="100"/>
      <c r="AE1746" s="100"/>
      <c r="AF1746" s="100"/>
    </row>
    <row r="1747" spans="1:32" s="76" customFormat="1" ht="57.6" customHeight="1">
      <c r="A1747" s="1153"/>
      <c r="B1747" s="1154"/>
      <c r="C1747" s="1323"/>
      <c r="D1747" s="1324"/>
      <c r="E1747" s="1189" t="s">
        <v>745</v>
      </c>
      <c r="F1747" s="1317"/>
      <c r="G1747" s="1318"/>
      <c r="H1747" s="1318"/>
      <c r="I1747" s="1318"/>
      <c r="J1747" s="1318"/>
      <c r="K1747" s="1318"/>
      <c r="L1747" s="1319"/>
      <c r="M1747" s="1319"/>
      <c r="N1747" s="1319"/>
      <c r="O1747" s="1320"/>
      <c r="P1747" s="774"/>
      <c r="Q1747" s="658"/>
      <c r="R1747" s="139"/>
      <c r="S1747" s="139"/>
      <c r="T1747" s="139"/>
      <c r="U1747" s="139"/>
      <c r="V1747" s="139"/>
      <c r="W1747" s="139"/>
      <c r="X1747" s="139"/>
      <c r="Y1747" s="139"/>
      <c r="Z1747" s="139"/>
      <c r="AA1747" s="139"/>
      <c r="AB1747" s="139"/>
      <c r="AC1747" s="139"/>
      <c r="AD1747" s="139"/>
      <c r="AE1747" s="139"/>
      <c r="AF1747" s="139"/>
    </row>
    <row r="1748" spans="1:32" s="76" customFormat="1" ht="72.75" customHeight="1">
      <c r="A1748" s="388"/>
      <c r="B1748" s="125"/>
      <c r="C1748" s="87">
        <v>3</v>
      </c>
      <c r="D1748" s="136"/>
      <c r="E1748" s="138" t="s">
        <v>193</v>
      </c>
      <c r="F1748" s="134"/>
      <c r="G1748" s="135"/>
      <c r="H1748" s="135"/>
      <c r="I1748" s="135"/>
      <c r="J1748" s="135"/>
      <c r="K1748" s="135">
        <v>5000</v>
      </c>
      <c r="L1748" s="133">
        <f t="shared" si="193"/>
        <v>5000</v>
      </c>
      <c r="M1748" s="133">
        <v>5000</v>
      </c>
      <c r="N1748" s="133">
        <v>629.41999999999996</v>
      </c>
      <c r="O1748" s="862">
        <f>N1748/M1748</f>
        <v>0.125884</v>
      </c>
      <c r="P1748" s="774" t="s">
        <v>395</v>
      </c>
      <c r="Q1748" s="658"/>
      <c r="R1748" s="139"/>
      <c r="S1748" s="139"/>
      <c r="T1748" s="139"/>
      <c r="U1748" s="139"/>
      <c r="V1748" s="139"/>
      <c r="W1748" s="139"/>
      <c r="X1748" s="139"/>
      <c r="Y1748" s="139"/>
      <c r="Z1748" s="139"/>
      <c r="AA1748" s="139"/>
      <c r="AB1748" s="139"/>
      <c r="AC1748" s="139"/>
      <c r="AD1748" s="139"/>
      <c r="AE1748" s="139"/>
      <c r="AF1748" s="139"/>
    </row>
    <row r="1749" spans="1:32" s="76" customFormat="1" ht="72.75" customHeight="1">
      <c r="A1749" s="685"/>
      <c r="B1749" s="686"/>
      <c r="C1749" s="593">
        <v>4</v>
      </c>
      <c r="D1749" s="602"/>
      <c r="E1749" s="596" t="s">
        <v>333</v>
      </c>
      <c r="F1749" s="588"/>
      <c r="G1749" s="595"/>
      <c r="H1749" s="595"/>
      <c r="I1749" s="595"/>
      <c r="J1749" s="595"/>
      <c r="K1749" s="595">
        <v>80000</v>
      </c>
      <c r="L1749" s="589">
        <f t="shared" si="193"/>
        <v>80000</v>
      </c>
      <c r="M1749" s="589">
        <v>80000</v>
      </c>
      <c r="N1749" s="589">
        <f>23885+4341.9+3741.54+197.47+1927+40</f>
        <v>34132.910000000003</v>
      </c>
      <c r="O1749" s="826">
        <f>N1749/M1749</f>
        <v>0.42666137500000006</v>
      </c>
      <c r="P1749" s="774" t="s">
        <v>395</v>
      </c>
      <c r="Q1749" s="658"/>
      <c r="R1749" s="139"/>
      <c r="S1749" s="139"/>
      <c r="T1749" s="139"/>
      <c r="U1749" s="139"/>
      <c r="V1749" s="139"/>
      <c r="W1749" s="139"/>
      <c r="X1749" s="139"/>
      <c r="Y1749" s="139"/>
      <c r="Z1749" s="139"/>
      <c r="AA1749" s="139"/>
      <c r="AB1749" s="139"/>
      <c r="AC1749" s="139"/>
      <c r="AD1749" s="139"/>
      <c r="AE1749" s="139"/>
      <c r="AF1749" s="139"/>
    </row>
    <row r="1750" spans="1:32" s="76" customFormat="1" ht="72.75" customHeight="1">
      <c r="A1750" s="685"/>
      <c r="B1750" s="686"/>
      <c r="C1750" s="630">
        <v>5</v>
      </c>
      <c r="D1750" s="631"/>
      <c r="E1750" s="596" t="s">
        <v>337</v>
      </c>
      <c r="F1750" s="588"/>
      <c r="G1750" s="595"/>
      <c r="H1750" s="595"/>
      <c r="I1750" s="595"/>
      <c r="J1750" s="595"/>
      <c r="K1750" s="595">
        <v>10000</v>
      </c>
      <c r="L1750" s="589">
        <f>SUM(F1750:K1750)</f>
        <v>10000</v>
      </c>
      <c r="M1750" s="589">
        <v>10000</v>
      </c>
      <c r="N1750" s="589">
        <v>0</v>
      </c>
      <c r="O1750" s="826">
        <v>0</v>
      </c>
      <c r="P1750" s="774" t="s">
        <v>395</v>
      </c>
      <c r="Q1750" s="658"/>
      <c r="R1750" s="139"/>
      <c r="S1750" s="139"/>
      <c r="T1750" s="139"/>
      <c r="U1750" s="139"/>
      <c r="V1750" s="139"/>
      <c r="W1750" s="139"/>
      <c r="X1750" s="139"/>
      <c r="Y1750" s="139"/>
      <c r="Z1750" s="139"/>
      <c r="AA1750" s="139"/>
      <c r="AB1750" s="139"/>
      <c r="AC1750" s="139"/>
      <c r="AD1750" s="139"/>
      <c r="AE1750" s="139"/>
      <c r="AF1750" s="139"/>
    </row>
    <row r="1751" spans="1:32" s="322" customFormat="1" ht="43.5" customHeight="1">
      <c r="A1751" s="687"/>
      <c r="B1751" s="688"/>
      <c r="C1751" s="127"/>
      <c r="D1751" s="126"/>
      <c r="E1751" s="1279" t="s">
        <v>694</v>
      </c>
      <c r="F1751" s="1279"/>
      <c r="G1751" s="1279"/>
      <c r="H1751" s="1279"/>
      <c r="I1751" s="1279"/>
      <c r="J1751" s="1279"/>
      <c r="K1751" s="1279"/>
      <c r="L1751" s="1279"/>
      <c r="M1751" s="1279"/>
      <c r="N1751" s="1279"/>
      <c r="O1751" s="1280"/>
      <c r="P1751" s="798"/>
      <c r="Q1751" s="648"/>
      <c r="R1751" s="337"/>
      <c r="S1751" s="337"/>
      <c r="T1751" s="337"/>
      <c r="U1751" s="337"/>
      <c r="V1751" s="337"/>
      <c r="W1751" s="337"/>
      <c r="X1751" s="337"/>
      <c r="Y1751" s="337"/>
      <c r="Z1751" s="337"/>
      <c r="AA1751" s="337"/>
      <c r="AB1751" s="337"/>
      <c r="AC1751" s="337"/>
      <c r="AD1751" s="337"/>
      <c r="AE1751" s="337"/>
      <c r="AF1751" s="337"/>
    </row>
    <row r="1752" spans="1:32" s="155" customFormat="1" ht="60" customHeight="1">
      <c r="A1752" s="637"/>
      <c r="B1752" s="148">
        <v>90015</v>
      </c>
      <c r="C1752" s="147"/>
      <c r="D1752" s="146"/>
      <c r="E1752" s="145" t="s">
        <v>15</v>
      </c>
      <c r="F1752" s="144">
        <f>SUM(F1753:F1753)</f>
        <v>0</v>
      </c>
      <c r="G1752" s="144">
        <f>SUM(G1753:G1753)</f>
        <v>0</v>
      </c>
      <c r="H1752" s="144">
        <f>SUM(H1753:H1753)</f>
        <v>0</v>
      </c>
      <c r="I1752" s="144">
        <f>SUM(I1753:I1753)</f>
        <v>0</v>
      </c>
      <c r="J1752" s="144">
        <f>SUM(J1753:J1753)</f>
        <v>0</v>
      </c>
      <c r="K1752" s="144">
        <f>SUM(K1753:K1755)</f>
        <v>577277.30000000005</v>
      </c>
      <c r="L1752" s="143">
        <f>SUM(L1753:L1755)</f>
        <v>577277.30000000005</v>
      </c>
      <c r="M1752" s="143">
        <f>M1753+M1755+M1757</f>
        <v>567133.95000000007</v>
      </c>
      <c r="N1752" s="143">
        <f>N1753+N1755+N1757</f>
        <v>372590.32</v>
      </c>
      <c r="O1752" s="864">
        <f>N1752/M1752</f>
        <v>0.65697057987799878</v>
      </c>
      <c r="P1752" s="778" t="s">
        <v>395</v>
      </c>
      <c r="Q1752" s="662"/>
      <c r="R1752" s="156"/>
      <c r="S1752" s="156"/>
      <c r="T1752" s="156"/>
      <c r="U1752" s="156"/>
      <c r="V1752" s="156"/>
      <c r="W1752" s="156"/>
      <c r="X1752" s="156"/>
      <c r="Y1752" s="156"/>
      <c r="Z1752" s="156"/>
      <c r="AA1752" s="156"/>
      <c r="AB1752" s="156"/>
      <c r="AC1752" s="156"/>
      <c r="AD1752" s="156"/>
      <c r="AE1752" s="156"/>
      <c r="AF1752" s="156"/>
    </row>
    <row r="1753" spans="1:32" s="76" customFormat="1" ht="89.25" customHeight="1">
      <c r="A1753" s="1153"/>
      <c r="B1753" s="154"/>
      <c r="C1753" s="241">
        <v>1</v>
      </c>
      <c r="D1753" s="152"/>
      <c r="E1753" s="1170" t="s">
        <v>350</v>
      </c>
      <c r="F1753" s="151"/>
      <c r="G1753" s="150"/>
      <c r="H1753" s="150"/>
      <c r="I1753" s="150"/>
      <c r="J1753" s="150"/>
      <c r="K1753" s="150">
        <v>550000</v>
      </c>
      <c r="L1753" s="149">
        <f>SUM(F1753:K1753)</f>
        <v>550000</v>
      </c>
      <c r="M1753" s="149">
        <v>525000</v>
      </c>
      <c r="N1753" s="149">
        <v>345390.32</v>
      </c>
      <c r="O1753" s="892">
        <f>N1753/M1753</f>
        <v>0.65788632380952383</v>
      </c>
      <c r="P1753" s="774" t="s">
        <v>395</v>
      </c>
      <c r="Q1753" s="658"/>
      <c r="R1753" s="139"/>
      <c r="S1753" s="139"/>
      <c r="T1753" s="139"/>
      <c r="U1753" s="139"/>
      <c r="V1753" s="139"/>
      <c r="W1753" s="139"/>
      <c r="X1753" s="139"/>
      <c r="Y1753" s="139"/>
      <c r="Z1753" s="139"/>
      <c r="AA1753" s="139"/>
      <c r="AB1753" s="139"/>
      <c r="AC1753" s="139"/>
      <c r="AD1753" s="139"/>
      <c r="AE1753" s="139"/>
      <c r="AF1753" s="139"/>
    </row>
    <row r="1754" spans="1:32" s="442" customFormat="1" ht="93" customHeight="1">
      <c r="A1754" s="1034"/>
      <c r="B1754" s="1169"/>
      <c r="C1754" s="60"/>
      <c r="D1754" s="443"/>
      <c r="E1754" s="1267" t="s">
        <v>773</v>
      </c>
      <c r="F1754" s="1267"/>
      <c r="G1754" s="1267"/>
      <c r="H1754" s="1267"/>
      <c r="I1754" s="1267"/>
      <c r="J1754" s="1267"/>
      <c r="K1754" s="1267"/>
      <c r="L1754" s="1267"/>
      <c r="M1754" s="1267"/>
      <c r="N1754" s="1267"/>
      <c r="O1754" s="1268"/>
      <c r="P1754" s="665"/>
      <c r="Q1754" s="994"/>
      <c r="R1754" s="665"/>
    </row>
    <row r="1755" spans="1:32" s="410" customFormat="1" ht="169.5" customHeight="1">
      <c r="A1755" s="1153"/>
      <c r="B1755" s="1154"/>
      <c r="C1755" s="630">
        <v>2</v>
      </c>
      <c r="D1755" s="741"/>
      <c r="E1755" s="825" t="s">
        <v>329</v>
      </c>
      <c r="F1755" s="588"/>
      <c r="G1755" s="588"/>
      <c r="H1755" s="588"/>
      <c r="I1755" s="588"/>
      <c r="J1755" s="588"/>
      <c r="K1755" s="588">
        <v>27277.3</v>
      </c>
      <c r="L1755" s="589">
        <f>K1755</f>
        <v>27277.3</v>
      </c>
      <c r="M1755" s="589">
        <f>L1755</f>
        <v>27277.3</v>
      </c>
      <c r="N1755" s="589">
        <v>27200</v>
      </c>
      <c r="O1755" s="826">
        <f>N1755/M1755</f>
        <v>0.99716614181022323</v>
      </c>
      <c r="P1755" s="775" t="s">
        <v>395</v>
      </c>
      <c r="Q1755" s="659"/>
      <c r="R1755" s="100"/>
      <c r="S1755" s="100"/>
      <c r="T1755" s="100"/>
      <c r="U1755" s="100"/>
      <c r="V1755" s="100"/>
      <c r="W1755" s="100"/>
      <c r="X1755" s="100"/>
      <c r="Y1755" s="100"/>
      <c r="Z1755" s="100"/>
      <c r="AA1755" s="100"/>
      <c r="AB1755" s="100"/>
      <c r="AC1755" s="100"/>
      <c r="AD1755" s="100"/>
      <c r="AE1755" s="100"/>
      <c r="AF1755" s="100"/>
    </row>
    <row r="1756" spans="1:32" s="442" customFormat="1" ht="81" customHeight="1">
      <c r="A1756" s="1034"/>
      <c r="B1756" s="1169"/>
      <c r="C1756" s="60"/>
      <c r="D1756" s="443"/>
      <c r="E1756" s="1267" t="s">
        <v>706</v>
      </c>
      <c r="F1756" s="1267"/>
      <c r="G1756" s="1267"/>
      <c r="H1756" s="1267"/>
      <c r="I1756" s="1267"/>
      <c r="J1756" s="1267"/>
      <c r="K1756" s="1267"/>
      <c r="L1756" s="1267"/>
      <c r="M1756" s="1267"/>
      <c r="N1756" s="1267"/>
      <c r="O1756" s="1268"/>
      <c r="P1756" s="665"/>
      <c r="Q1756" s="994"/>
      <c r="R1756" s="665"/>
    </row>
    <row r="1757" spans="1:32" s="410" customFormat="1" ht="105" customHeight="1">
      <c r="A1757" s="1153"/>
      <c r="B1757" s="1154"/>
      <c r="C1757" s="630">
        <v>3</v>
      </c>
      <c r="D1757" s="741"/>
      <c r="E1757" s="825" t="s">
        <v>391</v>
      </c>
      <c r="F1757" s="588"/>
      <c r="G1757" s="588"/>
      <c r="H1757" s="588"/>
      <c r="I1757" s="588"/>
      <c r="J1757" s="588"/>
      <c r="K1757" s="588">
        <v>27277.3</v>
      </c>
      <c r="L1757" s="589">
        <v>0</v>
      </c>
      <c r="M1757" s="589">
        <v>14856.65</v>
      </c>
      <c r="N1757" s="589">
        <v>0</v>
      </c>
      <c r="O1757" s="826">
        <v>0</v>
      </c>
      <c r="P1757" s="775" t="s">
        <v>395</v>
      </c>
      <c r="Q1757" s="659"/>
      <c r="R1757" s="100"/>
      <c r="S1757" s="100"/>
      <c r="T1757" s="100"/>
      <c r="U1757" s="100"/>
      <c r="V1757" s="100"/>
      <c r="W1757" s="100"/>
      <c r="X1757" s="100"/>
      <c r="Y1757" s="100"/>
      <c r="Z1757" s="100"/>
      <c r="AA1757" s="100"/>
      <c r="AB1757" s="100"/>
      <c r="AC1757" s="100"/>
      <c r="AD1757" s="100"/>
      <c r="AE1757" s="100"/>
      <c r="AF1757" s="100"/>
    </row>
    <row r="1758" spans="1:32" s="410" customFormat="1" ht="52.2" customHeight="1">
      <c r="A1758" s="1153"/>
      <c r="B1758" s="1154"/>
      <c r="C1758" s="353"/>
      <c r="D1758" s="609"/>
      <c r="E1758" s="1189" t="s">
        <v>745</v>
      </c>
      <c r="F1758" s="1208"/>
      <c r="G1758" s="1208"/>
      <c r="H1758" s="1208"/>
      <c r="I1758" s="1208"/>
      <c r="J1758" s="1208"/>
      <c r="K1758" s="1208"/>
      <c r="L1758" s="1231"/>
      <c r="M1758" s="1231"/>
      <c r="N1758" s="1231"/>
      <c r="O1758" s="1232"/>
      <c r="P1758" s="775"/>
      <c r="Q1758" s="659"/>
      <c r="R1758" s="100"/>
      <c r="S1758" s="100"/>
      <c r="T1758" s="100"/>
      <c r="U1758" s="100"/>
      <c r="V1758" s="100"/>
      <c r="W1758" s="100"/>
      <c r="X1758" s="100"/>
      <c r="Y1758" s="100"/>
      <c r="Z1758" s="100"/>
      <c r="AA1758" s="100"/>
      <c r="AB1758" s="100"/>
      <c r="AC1758" s="100"/>
      <c r="AD1758" s="100"/>
      <c r="AE1758" s="100"/>
      <c r="AF1758" s="100"/>
    </row>
    <row r="1759" spans="1:32" s="141" customFormat="1" ht="57" customHeight="1">
      <c r="A1759" s="637"/>
      <c r="B1759" s="148">
        <v>90095</v>
      </c>
      <c r="C1759" s="147"/>
      <c r="D1759" s="146"/>
      <c r="E1759" s="145" t="s">
        <v>5</v>
      </c>
      <c r="F1759" s="144">
        <f t="shared" ref="F1759:K1759" si="195">SUM(F1760:F1779)</f>
        <v>0</v>
      </c>
      <c r="G1759" s="144">
        <f t="shared" si="195"/>
        <v>0</v>
      </c>
      <c r="H1759" s="144">
        <f t="shared" si="195"/>
        <v>0</v>
      </c>
      <c r="I1759" s="144">
        <f t="shared" si="195"/>
        <v>0</v>
      </c>
      <c r="J1759" s="144">
        <f t="shared" si="195"/>
        <v>0</v>
      </c>
      <c r="K1759" s="144">
        <f t="shared" si="195"/>
        <v>445410.51</v>
      </c>
      <c r="L1759" s="143">
        <f>L1760+L1762+L1763+L1765+L1767+L1769+L1771+L1773+L1775+L1777+L1779+L1782</f>
        <v>445410.51</v>
      </c>
      <c r="M1759" s="143">
        <f t="shared" ref="M1759:N1759" si="196">M1760+M1762+M1763+M1765+M1767+M1769+M1771+M1773+M1775+M1777+M1779+M1782</f>
        <v>475310.01</v>
      </c>
      <c r="N1759" s="143">
        <f t="shared" si="196"/>
        <v>90235.67</v>
      </c>
      <c r="O1759" s="864">
        <f>N1759/M1759</f>
        <v>0.18984592813435591</v>
      </c>
      <c r="P1759" s="778" t="s">
        <v>395</v>
      </c>
      <c r="Q1759" s="662"/>
      <c r="R1759" s="142"/>
      <c r="S1759" s="142"/>
      <c r="T1759" s="142"/>
      <c r="U1759" s="142"/>
      <c r="V1759" s="142"/>
      <c r="W1759" s="142"/>
      <c r="X1759" s="142"/>
      <c r="Y1759" s="142"/>
      <c r="Z1759" s="142"/>
      <c r="AA1759" s="142"/>
      <c r="AB1759" s="142"/>
      <c r="AC1759" s="142"/>
      <c r="AD1759" s="142"/>
      <c r="AE1759" s="142"/>
      <c r="AF1759" s="142"/>
    </row>
    <row r="1760" spans="1:32" s="76" customFormat="1" ht="90.75" customHeight="1">
      <c r="A1760" s="1153"/>
      <c r="B1760" s="1154"/>
      <c r="C1760" s="593">
        <v>1</v>
      </c>
      <c r="D1760" s="602"/>
      <c r="E1760" s="596" t="s">
        <v>194</v>
      </c>
      <c r="F1760" s="588"/>
      <c r="G1760" s="595"/>
      <c r="H1760" s="595"/>
      <c r="I1760" s="595"/>
      <c r="J1760" s="595"/>
      <c r="K1760" s="595">
        <v>80000</v>
      </c>
      <c r="L1760" s="589">
        <f t="shared" ref="L1760:L1771" si="197">SUM(F1760:K1760)</f>
        <v>80000</v>
      </c>
      <c r="M1760" s="589">
        <v>44000</v>
      </c>
      <c r="N1760" s="589">
        <v>15800</v>
      </c>
      <c r="O1760" s="826">
        <f>N1760/M1760</f>
        <v>0.35909090909090907</v>
      </c>
      <c r="P1760" s="774" t="s">
        <v>395</v>
      </c>
      <c r="Q1760" s="658"/>
      <c r="R1760" s="139"/>
      <c r="S1760" s="139"/>
      <c r="T1760" s="139"/>
      <c r="U1760" s="139"/>
      <c r="V1760" s="139"/>
      <c r="W1760" s="139"/>
      <c r="X1760" s="139"/>
      <c r="Y1760" s="139"/>
      <c r="Z1760" s="139"/>
      <c r="AA1760" s="139"/>
      <c r="AB1760" s="139"/>
      <c r="AC1760" s="139"/>
      <c r="AD1760" s="139"/>
      <c r="AE1760" s="139"/>
      <c r="AF1760" s="139"/>
    </row>
    <row r="1761" spans="1:32" s="442" customFormat="1" ht="104.25" customHeight="1">
      <c r="A1761" s="1034"/>
      <c r="B1761" s="1169"/>
      <c r="C1761" s="60"/>
      <c r="D1761" s="443"/>
      <c r="E1761" s="1267" t="s">
        <v>707</v>
      </c>
      <c r="F1761" s="1267"/>
      <c r="G1761" s="1267"/>
      <c r="H1761" s="1267"/>
      <c r="I1761" s="1267"/>
      <c r="J1761" s="1267"/>
      <c r="K1761" s="1267"/>
      <c r="L1761" s="1267"/>
      <c r="M1761" s="1267"/>
      <c r="N1761" s="1267"/>
      <c r="O1761" s="1268"/>
      <c r="P1761" s="665"/>
      <c r="Q1761" s="994"/>
      <c r="R1761" s="665"/>
      <c r="S1761" s="442">
        <f>N1759-N1779</f>
        <v>77564.19</v>
      </c>
    </row>
    <row r="1762" spans="1:32" s="94" customFormat="1" ht="78.75" customHeight="1">
      <c r="A1762" s="388"/>
      <c r="B1762" s="125"/>
      <c r="C1762" s="87">
        <v>2</v>
      </c>
      <c r="D1762" s="136"/>
      <c r="E1762" s="137" t="s">
        <v>172</v>
      </c>
      <c r="F1762" s="134"/>
      <c r="G1762" s="135"/>
      <c r="H1762" s="135"/>
      <c r="I1762" s="135"/>
      <c r="J1762" s="135"/>
      <c r="K1762" s="135">
        <v>500</v>
      </c>
      <c r="L1762" s="133">
        <f t="shared" si="197"/>
        <v>500</v>
      </c>
      <c r="M1762" s="133">
        <v>500</v>
      </c>
      <c r="N1762" s="133">
        <v>248</v>
      </c>
      <c r="O1762" s="862">
        <f>N1762/M1762</f>
        <v>0.496</v>
      </c>
      <c r="P1762" s="775" t="s">
        <v>395</v>
      </c>
      <c r="Q1762" s="659"/>
      <c r="R1762" s="100"/>
      <c r="S1762" s="100"/>
      <c r="T1762" s="100"/>
      <c r="U1762" s="100"/>
      <c r="V1762" s="100"/>
      <c r="W1762" s="100"/>
      <c r="X1762" s="100"/>
      <c r="Y1762" s="100"/>
      <c r="Z1762" s="100"/>
      <c r="AA1762" s="100"/>
      <c r="AB1762" s="100"/>
      <c r="AC1762" s="100"/>
      <c r="AD1762" s="100"/>
      <c r="AE1762" s="100"/>
      <c r="AF1762" s="100"/>
    </row>
    <row r="1763" spans="1:32" s="94" customFormat="1" ht="78.75" customHeight="1">
      <c r="A1763" s="1153"/>
      <c r="B1763" s="1154"/>
      <c r="C1763" s="593">
        <v>3</v>
      </c>
      <c r="D1763" s="602"/>
      <c r="E1763" s="596" t="s">
        <v>156</v>
      </c>
      <c r="F1763" s="588"/>
      <c r="G1763" s="595"/>
      <c r="H1763" s="595"/>
      <c r="I1763" s="595"/>
      <c r="J1763" s="595"/>
      <c r="K1763" s="595">
        <v>65000</v>
      </c>
      <c r="L1763" s="589">
        <f t="shared" si="197"/>
        <v>65000</v>
      </c>
      <c r="M1763" s="589">
        <v>65000</v>
      </c>
      <c r="N1763" s="589">
        <v>19805</v>
      </c>
      <c r="O1763" s="826">
        <f>N1763/M1763</f>
        <v>0.30469230769230771</v>
      </c>
      <c r="P1763" s="775" t="s">
        <v>395</v>
      </c>
      <c r="Q1763" s="659"/>
      <c r="R1763" s="100"/>
      <c r="S1763" s="100"/>
      <c r="T1763" s="100"/>
      <c r="U1763" s="100"/>
      <c r="V1763" s="100"/>
      <c r="W1763" s="100"/>
      <c r="X1763" s="100"/>
      <c r="Y1763" s="100"/>
      <c r="Z1763" s="100"/>
      <c r="AA1763" s="100"/>
      <c r="AB1763" s="100"/>
      <c r="AC1763" s="100"/>
      <c r="AD1763" s="100"/>
      <c r="AE1763" s="100"/>
      <c r="AF1763" s="100"/>
    </row>
    <row r="1764" spans="1:32" s="442" customFormat="1" ht="147.75" customHeight="1">
      <c r="A1764" s="1034"/>
      <c r="B1764" s="1169"/>
      <c r="C1764" s="60"/>
      <c r="D1764" s="443"/>
      <c r="E1764" s="1267" t="s">
        <v>708</v>
      </c>
      <c r="F1764" s="1267"/>
      <c r="G1764" s="1267"/>
      <c r="H1764" s="1267"/>
      <c r="I1764" s="1267"/>
      <c r="J1764" s="1267"/>
      <c r="K1764" s="1267"/>
      <c r="L1764" s="1267"/>
      <c r="M1764" s="1267"/>
      <c r="N1764" s="1267"/>
      <c r="O1764" s="1268"/>
      <c r="P1764" s="665"/>
      <c r="Q1764" s="994"/>
      <c r="R1764" s="665"/>
    </row>
    <row r="1765" spans="1:32" s="410" customFormat="1" ht="73.5" customHeight="1">
      <c r="A1765" s="1153"/>
      <c r="B1765" s="1154"/>
      <c r="C1765" s="593">
        <v>4</v>
      </c>
      <c r="D1765" s="602"/>
      <c r="E1765" s="596" t="s">
        <v>241</v>
      </c>
      <c r="F1765" s="588"/>
      <c r="G1765" s="595"/>
      <c r="H1765" s="595"/>
      <c r="I1765" s="595"/>
      <c r="J1765" s="595"/>
      <c r="K1765" s="595">
        <v>10000</v>
      </c>
      <c r="L1765" s="589">
        <f t="shared" si="197"/>
        <v>10000</v>
      </c>
      <c r="M1765" s="589">
        <v>10000</v>
      </c>
      <c r="N1765" s="589">
        <v>8359.02</v>
      </c>
      <c r="O1765" s="826">
        <f>N1765/M1765</f>
        <v>0.83590200000000003</v>
      </c>
      <c r="P1765" s="775" t="s">
        <v>395</v>
      </c>
      <c r="Q1765" s="659"/>
      <c r="R1765" s="100"/>
      <c r="S1765" s="100"/>
      <c r="T1765" s="100"/>
      <c r="U1765" s="100"/>
      <c r="V1765" s="100"/>
      <c r="W1765" s="100"/>
      <c r="X1765" s="100"/>
      <c r="Y1765" s="100"/>
      <c r="Z1765" s="100"/>
      <c r="AA1765" s="100"/>
      <c r="AB1765" s="100"/>
      <c r="AC1765" s="100"/>
      <c r="AD1765" s="100"/>
      <c r="AE1765" s="100"/>
      <c r="AF1765" s="100"/>
    </row>
    <row r="1766" spans="1:32" s="442" customFormat="1" ht="72.75" customHeight="1">
      <c r="A1766" s="1034"/>
      <c r="B1766" s="1169"/>
      <c r="C1766" s="60"/>
      <c r="D1766" s="443"/>
      <c r="E1766" s="1267" t="s">
        <v>709</v>
      </c>
      <c r="F1766" s="1267"/>
      <c r="G1766" s="1267"/>
      <c r="H1766" s="1267"/>
      <c r="I1766" s="1267"/>
      <c r="J1766" s="1267"/>
      <c r="K1766" s="1267"/>
      <c r="L1766" s="1267"/>
      <c r="M1766" s="1267"/>
      <c r="N1766" s="1267"/>
      <c r="O1766" s="1268"/>
      <c r="P1766" s="665"/>
      <c r="Q1766" s="994"/>
      <c r="R1766" s="665"/>
    </row>
    <row r="1767" spans="1:32" s="94" customFormat="1" ht="73.5" customHeight="1">
      <c r="A1767" s="1153"/>
      <c r="B1767" s="1154"/>
      <c r="C1767" s="593">
        <v>5</v>
      </c>
      <c r="D1767" s="602"/>
      <c r="E1767" s="596" t="s">
        <v>14</v>
      </c>
      <c r="F1767" s="588"/>
      <c r="G1767" s="595"/>
      <c r="H1767" s="595"/>
      <c r="I1767" s="595"/>
      <c r="J1767" s="595"/>
      <c r="K1767" s="595">
        <v>5000</v>
      </c>
      <c r="L1767" s="589">
        <f t="shared" si="197"/>
        <v>5000</v>
      </c>
      <c r="M1767" s="589">
        <v>5200</v>
      </c>
      <c r="N1767" s="589">
        <v>339.13</v>
      </c>
      <c r="O1767" s="826">
        <f>N1767/M1767</f>
        <v>6.5217307692307686E-2</v>
      </c>
      <c r="P1767" s="775" t="s">
        <v>395</v>
      </c>
      <c r="Q1767" s="659"/>
      <c r="R1767" s="100"/>
      <c r="S1767" s="100"/>
      <c r="T1767" s="100"/>
      <c r="U1767" s="100"/>
      <c r="V1767" s="100"/>
      <c r="W1767" s="100"/>
      <c r="X1767" s="100"/>
      <c r="Y1767" s="100"/>
      <c r="Z1767" s="100"/>
      <c r="AA1767" s="100"/>
      <c r="AB1767" s="100"/>
      <c r="AC1767" s="100"/>
      <c r="AD1767" s="100"/>
      <c r="AE1767" s="100"/>
      <c r="AF1767" s="100"/>
    </row>
    <row r="1768" spans="1:32" s="442" customFormat="1" ht="72.75" customHeight="1">
      <c r="A1768" s="1034"/>
      <c r="B1768" s="1169"/>
      <c r="C1768" s="60"/>
      <c r="D1768" s="443"/>
      <c r="E1768" s="1267" t="s">
        <v>710</v>
      </c>
      <c r="F1768" s="1267"/>
      <c r="G1768" s="1267"/>
      <c r="H1768" s="1267"/>
      <c r="I1768" s="1267"/>
      <c r="J1768" s="1267"/>
      <c r="K1768" s="1267"/>
      <c r="L1768" s="1267"/>
      <c r="M1768" s="1267"/>
      <c r="N1768" s="1267"/>
      <c r="O1768" s="1268"/>
      <c r="P1768" s="665"/>
      <c r="Q1768" s="994"/>
      <c r="R1768" s="665"/>
    </row>
    <row r="1769" spans="1:32" s="410" customFormat="1" ht="73.5" customHeight="1">
      <c r="A1769" s="1153"/>
      <c r="B1769" s="1154"/>
      <c r="C1769" s="593">
        <v>6</v>
      </c>
      <c r="D1769" s="602"/>
      <c r="E1769" s="1171" t="s">
        <v>242</v>
      </c>
      <c r="F1769" s="588"/>
      <c r="G1769" s="595"/>
      <c r="H1769" s="595"/>
      <c r="I1769" s="595"/>
      <c r="J1769" s="595"/>
      <c r="K1769" s="595">
        <v>20000</v>
      </c>
      <c r="L1769" s="589">
        <f t="shared" si="197"/>
        <v>20000</v>
      </c>
      <c r="M1769" s="589">
        <v>24800</v>
      </c>
      <c r="N1769" s="589">
        <f>12954.81+2460</f>
        <v>15414.81</v>
      </c>
      <c r="O1769" s="826">
        <f>N1769/M1769</f>
        <v>0.62156491935483871</v>
      </c>
      <c r="P1769" s="775" t="s">
        <v>395</v>
      </c>
      <c r="Q1769" s="659"/>
      <c r="R1769" s="100"/>
      <c r="S1769" s="100"/>
      <c r="T1769" s="100"/>
      <c r="U1769" s="100"/>
      <c r="V1769" s="100"/>
      <c r="W1769" s="100"/>
      <c r="X1769" s="100"/>
      <c r="Y1769" s="100"/>
      <c r="Z1769" s="100"/>
      <c r="AA1769" s="100"/>
      <c r="AB1769" s="100"/>
      <c r="AC1769" s="100"/>
      <c r="AD1769" s="100"/>
      <c r="AE1769" s="100"/>
      <c r="AF1769" s="100"/>
    </row>
    <row r="1770" spans="1:32" s="442" customFormat="1" ht="105" customHeight="1">
      <c r="A1770" s="1034"/>
      <c r="B1770" s="1169"/>
      <c r="C1770" s="60"/>
      <c r="D1770" s="443"/>
      <c r="E1770" s="1267" t="s">
        <v>774</v>
      </c>
      <c r="F1770" s="1267"/>
      <c r="G1770" s="1267"/>
      <c r="H1770" s="1267"/>
      <c r="I1770" s="1267"/>
      <c r="J1770" s="1267"/>
      <c r="K1770" s="1267"/>
      <c r="L1770" s="1267"/>
      <c r="M1770" s="1267"/>
      <c r="N1770" s="1267"/>
      <c r="O1770" s="1268"/>
      <c r="P1770" s="665"/>
      <c r="Q1770" s="994"/>
      <c r="R1770" s="665"/>
    </row>
    <row r="1771" spans="1:32" s="94" customFormat="1" ht="105.75" customHeight="1">
      <c r="A1771" s="1153"/>
      <c r="B1771" s="1154"/>
      <c r="C1771" s="593">
        <v>7</v>
      </c>
      <c r="D1771" s="602"/>
      <c r="E1771" s="1172" t="s">
        <v>195</v>
      </c>
      <c r="F1771" s="588"/>
      <c r="G1771" s="595"/>
      <c r="H1771" s="595"/>
      <c r="I1771" s="595"/>
      <c r="J1771" s="595"/>
      <c r="K1771" s="595">
        <v>25000</v>
      </c>
      <c r="L1771" s="589">
        <f t="shared" si="197"/>
        <v>25000</v>
      </c>
      <c r="M1771" s="589">
        <v>25000</v>
      </c>
      <c r="N1771" s="589">
        <v>4300.7</v>
      </c>
      <c r="O1771" s="826">
        <f>N1771/M1771</f>
        <v>0.17202799999999999</v>
      </c>
      <c r="P1771" s="775" t="s">
        <v>395</v>
      </c>
      <c r="Q1771" s="659"/>
      <c r="R1771" s="100"/>
      <c r="S1771" s="100"/>
      <c r="T1771" s="100"/>
      <c r="U1771" s="100"/>
      <c r="V1771" s="100"/>
      <c r="W1771" s="100"/>
      <c r="X1771" s="100"/>
      <c r="Y1771" s="100"/>
      <c r="Z1771" s="100"/>
      <c r="AA1771" s="100"/>
      <c r="AB1771" s="100"/>
      <c r="AC1771" s="100"/>
      <c r="AD1771" s="100"/>
      <c r="AE1771" s="100"/>
      <c r="AF1771" s="100"/>
    </row>
    <row r="1772" spans="1:32" s="442" customFormat="1" ht="72.75" customHeight="1">
      <c r="A1772" s="1034"/>
      <c r="B1772" s="1169"/>
      <c r="C1772" s="60"/>
      <c r="D1772" s="443"/>
      <c r="E1772" s="1267" t="s">
        <v>775</v>
      </c>
      <c r="F1772" s="1267"/>
      <c r="G1772" s="1267"/>
      <c r="H1772" s="1267"/>
      <c r="I1772" s="1267"/>
      <c r="J1772" s="1267"/>
      <c r="K1772" s="1267"/>
      <c r="L1772" s="1267"/>
      <c r="M1772" s="1267"/>
      <c r="N1772" s="1267"/>
      <c r="O1772" s="1268"/>
      <c r="P1772" s="665"/>
      <c r="Q1772" s="994"/>
      <c r="R1772" s="665"/>
    </row>
    <row r="1773" spans="1:32" s="410" customFormat="1" ht="132" customHeight="1">
      <c r="A1773" s="1153"/>
      <c r="B1773" s="1154"/>
      <c r="C1773" s="630">
        <v>8</v>
      </c>
      <c r="D1773" s="741"/>
      <c r="E1773" s="825" t="s">
        <v>355</v>
      </c>
      <c r="F1773" s="588"/>
      <c r="G1773" s="588"/>
      <c r="H1773" s="588"/>
      <c r="I1773" s="588"/>
      <c r="J1773" s="588"/>
      <c r="K1773" s="588">
        <v>16420.509999999998</v>
      </c>
      <c r="L1773" s="589">
        <f>K1773</f>
        <v>16420.509999999998</v>
      </c>
      <c r="M1773" s="589">
        <f>L1773</f>
        <v>16420.509999999998</v>
      </c>
      <c r="N1773" s="589">
        <v>13297.53</v>
      </c>
      <c r="O1773" s="826">
        <f>N1773/M1773</f>
        <v>0.80981224091090975</v>
      </c>
      <c r="P1773" s="775" t="s">
        <v>395</v>
      </c>
      <c r="Q1773" s="659"/>
      <c r="R1773" s="100"/>
      <c r="S1773" s="100"/>
      <c r="T1773" s="100"/>
      <c r="U1773" s="100"/>
      <c r="V1773" s="100"/>
      <c r="W1773" s="100"/>
      <c r="X1773" s="100"/>
      <c r="Y1773" s="100"/>
      <c r="Z1773" s="100"/>
      <c r="AA1773" s="100"/>
      <c r="AB1773" s="100"/>
      <c r="AC1773" s="100"/>
      <c r="AD1773" s="100"/>
      <c r="AE1773" s="100"/>
      <c r="AF1773" s="100"/>
    </row>
    <row r="1774" spans="1:32" s="442" customFormat="1" ht="72.75" customHeight="1">
      <c r="A1774" s="1034"/>
      <c r="B1774" s="1169"/>
      <c r="C1774" s="60"/>
      <c r="D1774" s="443"/>
      <c r="E1774" s="1267" t="s">
        <v>711</v>
      </c>
      <c r="F1774" s="1267"/>
      <c r="G1774" s="1267"/>
      <c r="H1774" s="1267"/>
      <c r="I1774" s="1267"/>
      <c r="J1774" s="1267"/>
      <c r="K1774" s="1267"/>
      <c r="L1774" s="1267"/>
      <c r="M1774" s="1267"/>
      <c r="N1774" s="1267"/>
      <c r="O1774" s="1268"/>
      <c r="P1774" s="665"/>
      <c r="Q1774" s="994"/>
      <c r="R1774" s="665"/>
    </row>
    <row r="1775" spans="1:32" s="410" customFormat="1" ht="78.75" customHeight="1">
      <c r="A1775" s="1153"/>
      <c r="B1775" s="1154"/>
      <c r="C1775" s="630">
        <v>9</v>
      </c>
      <c r="D1775" s="741"/>
      <c r="E1775" s="742" t="s">
        <v>712</v>
      </c>
      <c r="F1775" s="588"/>
      <c r="G1775" s="588"/>
      <c r="H1775" s="588"/>
      <c r="I1775" s="588"/>
      <c r="J1775" s="588"/>
      <c r="K1775" s="588">
        <v>200000</v>
      </c>
      <c r="L1775" s="589">
        <f>K1775</f>
        <v>200000</v>
      </c>
      <c r="M1775" s="589">
        <v>236000</v>
      </c>
      <c r="N1775" s="589">
        <v>0</v>
      </c>
      <c r="O1775" s="826">
        <v>0</v>
      </c>
      <c r="P1775" s="775" t="s">
        <v>395</v>
      </c>
      <c r="Q1775" s="659"/>
      <c r="R1775" s="100"/>
      <c r="S1775" s="100"/>
      <c r="T1775" s="100"/>
      <c r="U1775" s="100"/>
      <c r="V1775" s="100"/>
      <c r="W1775" s="100"/>
      <c r="X1775" s="100"/>
      <c r="Y1775" s="100"/>
      <c r="Z1775" s="100"/>
      <c r="AA1775" s="100"/>
      <c r="AB1775" s="100"/>
      <c r="AC1775" s="100"/>
      <c r="AD1775" s="100"/>
      <c r="AE1775" s="100"/>
      <c r="AF1775" s="100"/>
    </row>
    <row r="1776" spans="1:32" s="410" customFormat="1" ht="46.8" customHeight="1">
      <c r="A1776" s="1153"/>
      <c r="B1776" s="1154"/>
      <c r="C1776" s="1325"/>
      <c r="D1776" s="609"/>
      <c r="E1776" s="1326" t="s">
        <v>745</v>
      </c>
      <c r="F1776" s="1208"/>
      <c r="G1776" s="1208"/>
      <c r="H1776" s="1208"/>
      <c r="I1776" s="1208"/>
      <c r="J1776" s="1208"/>
      <c r="K1776" s="1208"/>
      <c r="L1776" s="1231"/>
      <c r="M1776" s="1231"/>
      <c r="N1776" s="1231"/>
      <c r="O1776" s="1232"/>
      <c r="P1776" s="775"/>
      <c r="Q1776" s="659"/>
      <c r="R1776" s="100"/>
      <c r="S1776" s="100"/>
      <c r="T1776" s="100"/>
      <c r="U1776" s="100"/>
      <c r="V1776" s="100"/>
      <c r="W1776" s="100"/>
      <c r="X1776" s="100"/>
      <c r="Y1776" s="100"/>
      <c r="Z1776" s="100"/>
      <c r="AA1776" s="100"/>
      <c r="AB1776" s="100"/>
      <c r="AC1776" s="100"/>
      <c r="AD1776" s="100"/>
      <c r="AE1776" s="100"/>
      <c r="AF1776" s="100"/>
    </row>
    <row r="1777" spans="1:32" s="410" customFormat="1" ht="75.75" customHeight="1">
      <c r="A1777" s="1153"/>
      <c r="B1777" s="1154"/>
      <c r="C1777" s="630">
        <v>10</v>
      </c>
      <c r="D1777" s="631"/>
      <c r="E1777" s="606" t="s">
        <v>312</v>
      </c>
      <c r="F1777" s="588"/>
      <c r="G1777" s="588"/>
      <c r="H1777" s="588"/>
      <c r="I1777" s="588"/>
      <c r="J1777" s="588"/>
      <c r="K1777" s="588">
        <v>15000</v>
      </c>
      <c r="L1777" s="589">
        <f>SUM(F1777:K1777)</f>
        <v>15000</v>
      </c>
      <c r="M1777" s="589">
        <v>15000</v>
      </c>
      <c r="N1777" s="589">
        <v>0</v>
      </c>
      <c r="O1777" s="826">
        <v>0</v>
      </c>
      <c r="P1777" s="775" t="s">
        <v>395</v>
      </c>
      <c r="Q1777" s="659"/>
      <c r="R1777" s="100"/>
      <c r="S1777" s="100"/>
      <c r="T1777" s="100"/>
      <c r="U1777" s="100"/>
      <c r="V1777" s="100"/>
      <c r="W1777" s="100"/>
      <c r="X1777" s="100"/>
      <c r="Y1777" s="100"/>
      <c r="Z1777" s="100"/>
      <c r="AA1777" s="100"/>
      <c r="AB1777" s="100"/>
      <c r="AC1777" s="100"/>
      <c r="AD1777" s="100"/>
      <c r="AE1777" s="100"/>
      <c r="AF1777" s="100"/>
    </row>
    <row r="1778" spans="1:32" s="410" customFormat="1" ht="46.8" customHeight="1">
      <c r="A1778" s="1153"/>
      <c r="B1778" s="1154"/>
      <c r="C1778" s="1325"/>
      <c r="D1778" s="609"/>
      <c r="E1778" s="1326" t="s">
        <v>745</v>
      </c>
      <c r="F1778" s="1208"/>
      <c r="G1778" s="1208"/>
      <c r="H1778" s="1208"/>
      <c r="I1778" s="1208"/>
      <c r="J1778" s="1208"/>
      <c r="K1778" s="1208"/>
      <c r="L1778" s="1231"/>
      <c r="M1778" s="1231"/>
      <c r="N1778" s="1231"/>
      <c r="O1778" s="1232"/>
      <c r="P1778" s="775"/>
      <c r="Q1778" s="659"/>
      <c r="R1778" s="100"/>
      <c r="S1778" s="100"/>
      <c r="T1778" s="100"/>
      <c r="U1778" s="100"/>
      <c r="V1778" s="100"/>
      <c r="W1778" s="100"/>
      <c r="X1778" s="100"/>
      <c r="Y1778" s="100"/>
      <c r="Z1778" s="100"/>
      <c r="AA1778" s="100"/>
      <c r="AB1778" s="100"/>
      <c r="AC1778" s="100"/>
      <c r="AD1778" s="100"/>
      <c r="AE1778" s="100"/>
      <c r="AF1778" s="100"/>
    </row>
    <row r="1779" spans="1:32" s="410" customFormat="1" ht="85.5" customHeight="1">
      <c r="A1779" s="388"/>
      <c r="B1779" s="389"/>
      <c r="C1779" s="1321">
        <v>11</v>
      </c>
      <c r="D1779" s="1327"/>
      <c r="E1779" s="606" t="s">
        <v>196</v>
      </c>
      <c r="F1779" s="588"/>
      <c r="G1779" s="588"/>
      <c r="H1779" s="588"/>
      <c r="I1779" s="588"/>
      <c r="J1779" s="588"/>
      <c r="K1779" s="588">
        <f>5560+2930</f>
        <v>8490</v>
      </c>
      <c r="L1779" s="589">
        <f>L1780+L1781</f>
        <v>8490</v>
      </c>
      <c r="M1779" s="589">
        <f t="shared" ref="M1779:N1779" si="198">M1780+M1781</f>
        <v>16889.5</v>
      </c>
      <c r="N1779" s="589">
        <f t="shared" si="198"/>
        <v>12671.48</v>
      </c>
      <c r="O1779" s="826">
        <f>N1779/M1779</f>
        <v>0.75025785251191568</v>
      </c>
      <c r="P1779" s="775" t="s">
        <v>395</v>
      </c>
      <c r="Q1779" s="659"/>
      <c r="R1779" s="100"/>
      <c r="S1779" s="100"/>
      <c r="T1779" s="100"/>
      <c r="U1779" s="100"/>
      <c r="V1779" s="100"/>
      <c r="W1779" s="100"/>
      <c r="X1779" s="100"/>
      <c r="Y1779" s="100"/>
      <c r="Z1779" s="100"/>
      <c r="AA1779" s="100"/>
      <c r="AB1779" s="100"/>
      <c r="AC1779" s="100"/>
      <c r="AD1779" s="100"/>
      <c r="AE1779" s="100"/>
      <c r="AF1779" s="100"/>
    </row>
    <row r="1780" spans="1:32" s="410" customFormat="1" ht="94.5" customHeight="1">
      <c r="A1780" s="388"/>
      <c r="B1780" s="389"/>
      <c r="C1780" s="537"/>
      <c r="D1780" s="609" t="s">
        <v>210</v>
      </c>
      <c r="E1780" s="915" t="s">
        <v>776</v>
      </c>
      <c r="F1780" s="608"/>
      <c r="G1780" s="608"/>
      <c r="H1780" s="608"/>
      <c r="I1780" s="608"/>
      <c r="J1780" s="608"/>
      <c r="K1780" s="608"/>
      <c r="L1780" s="1016">
        <v>2930</v>
      </c>
      <c r="M1780" s="1016">
        <v>5860</v>
      </c>
      <c r="N1780" s="1016">
        <v>1650</v>
      </c>
      <c r="O1780" s="893">
        <f>N1780/M1780</f>
        <v>0.28156996587030719</v>
      </c>
      <c r="P1780" s="775" t="s">
        <v>395</v>
      </c>
      <c r="Q1780" s="659"/>
      <c r="R1780" s="100"/>
      <c r="S1780" s="100"/>
      <c r="T1780" s="100"/>
      <c r="U1780" s="100"/>
      <c r="V1780" s="100"/>
      <c r="W1780" s="100"/>
      <c r="X1780" s="100"/>
      <c r="Y1780" s="100"/>
      <c r="Z1780" s="100"/>
      <c r="AA1780" s="100"/>
      <c r="AB1780" s="100"/>
      <c r="AC1780" s="100"/>
      <c r="AD1780" s="100"/>
      <c r="AE1780" s="100"/>
      <c r="AF1780" s="100"/>
    </row>
    <row r="1781" spans="1:32" s="410" customFormat="1" ht="94.5" customHeight="1">
      <c r="A1781" s="388"/>
      <c r="B1781" s="389"/>
      <c r="C1781" s="537"/>
      <c r="D1781" s="609" t="s">
        <v>211</v>
      </c>
      <c r="E1781" s="607" t="s">
        <v>713</v>
      </c>
      <c r="F1781" s="534"/>
      <c r="G1781" s="534"/>
      <c r="H1781" s="534"/>
      <c r="I1781" s="534"/>
      <c r="J1781" s="534"/>
      <c r="K1781" s="534"/>
      <c r="L1781" s="1014">
        <v>5560</v>
      </c>
      <c r="M1781" s="1014">
        <v>11029.5</v>
      </c>
      <c r="N1781" s="1014">
        <v>11021.48</v>
      </c>
      <c r="O1781" s="1015">
        <f>N1781/M1781</f>
        <v>0.99927285915046005</v>
      </c>
      <c r="P1781" s="775" t="s">
        <v>395</v>
      </c>
      <c r="Q1781" s="659"/>
      <c r="R1781" s="100"/>
      <c r="S1781" s="100"/>
      <c r="T1781" s="100"/>
      <c r="U1781" s="100"/>
      <c r="V1781" s="100"/>
      <c r="W1781" s="100"/>
      <c r="X1781" s="100"/>
      <c r="Y1781" s="100"/>
      <c r="Z1781" s="100"/>
      <c r="AA1781" s="100"/>
      <c r="AB1781" s="100"/>
      <c r="AC1781" s="100"/>
      <c r="AD1781" s="100"/>
      <c r="AE1781" s="100"/>
      <c r="AF1781" s="100"/>
    </row>
    <row r="1782" spans="1:32" s="410" customFormat="1" ht="47.4" customHeight="1">
      <c r="A1782" s="1153"/>
      <c r="B1782" s="1154"/>
      <c r="C1782" s="593">
        <v>12</v>
      </c>
      <c r="D1782" s="602"/>
      <c r="E1782" s="596" t="s">
        <v>392</v>
      </c>
      <c r="F1782" s="588"/>
      <c r="G1782" s="595"/>
      <c r="H1782" s="595"/>
      <c r="I1782" s="595"/>
      <c r="J1782" s="595"/>
      <c r="K1782" s="595">
        <v>10000</v>
      </c>
      <c r="L1782" s="589">
        <v>0</v>
      </c>
      <c r="M1782" s="589">
        <v>16500</v>
      </c>
      <c r="N1782" s="589">
        <v>0</v>
      </c>
      <c r="O1782" s="826">
        <v>0</v>
      </c>
      <c r="P1782" s="775" t="s">
        <v>395</v>
      </c>
      <c r="Q1782" s="659"/>
      <c r="R1782" s="100"/>
      <c r="S1782" s="100"/>
      <c r="T1782" s="100"/>
      <c r="U1782" s="100"/>
      <c r="V1782" s="100"/>
      <c r="W1782" s="100"/>
      <c r="X1782" s="100"/>
      <c r="Y1782" s="100"/>
      <c r="Z1782" s="100"/>
      <c r="AA1782" s="100"/>
      <c r="AB1782" s="100"/>
      <c r="AC1782" s="100"/>
      <c r="AD1782" s="100"/>
      <c r="AE1782" s="100"/>
      <c r="AF1782" s="100"/>
    </row>
    <row r="1783" spans="1:32" s="410" customFormat="1" ht="48.6" customHeight="1">
      <c r="A1783" s="1153"/>
      <c r="B1783" s="1154"/>
      <c r="C1783" s="23"/>
      <c r="D1783" s="130"/>
      <c r="E1783" s="1326" t="s">
        <v>745</v>
      </c>
      <c r="F1783" s="1208"/>
      <c r="G1783" s="1208"/>
      <c r="H1783" s="1208"/>
      <c r="I1783" s="1208"/>
      <c r="J1783" s="1208"/>
      <c r="K1783" s="1208"/>
      <c r="L1783" s="1231"/>
      <c r="M1783" s="1231"/>
      <c r="N1783" s="1231"/>
      <c r="O1783" s="1232"/>
      <c r="P1783" s="775"/>
      <c r="Q1783" s="659"/>
      <c r="R1783" s="100"/>
      <c r="S1783" s="100"/>
      <c r="T1783" s="100"/>
      <c r="U1783" s="100"/>
      <c r="V1783" s="100"/>
      <c r="W1783" s="100"/>
      <c r="X1783" s="100"/>
      <c r="Y1783" s="100"/>
      <c r="Z1783" s="100"/>
      <c r="AA1783" s="100"/>
      <c r="AB1783" s="100"/>
      <c r="AC1783" s="100"/>
      <c r="AD1783" s="100"/>
      <c r="AE1783" s="100"/>
      <c r="AF1783" s="100"/>
    </row>
    <row r="1784" spans="1:32" s="120" customFormat="1" ht="67.5" customHeight="1">
      <c r="A1784" s="83">
        <v>18</v>
      </c>
      <c r="B1784" s="82">
        <v>921</v>
      </c>
      <c r="C1784" s="81"/>
      <c r="D1784" s="80"/>
      <c r="E1784" s="122" t="s">
        <v>12</v>
      </c>
      <c r="F1784" s="78">
        <f t="shared" ref="F1784:K1784" si="199">F1785+F1802+F1804+F1811</f>
        <v>0</v>
      </c>
      <c r="G1784" s="78">
        <f t="shared" si="199"/>
        <v>0</v>
      </c>
      <c r="H1784" s="78" t="e">
        <f t="shared" si="199"/>
        <v>#REF!</v>
      </c>
      <c r="I1784" s="78">
        <f t="shared" si="199"/>
        <v>0</v>
      </c>
      <c r="J1784" s="78">
        <f t="shared" si="199"/>
        <v>0</v>
      </c>
      <c r="K1784" s="78" t="e">
        <f t="shared" si="199"/>
        <v>#REF!</v>
      </c>
      <c r="L1784" s="77">
        <f>L1785+L1802+L1804+L1811</f>
        <v>4295227.07</v>
      </c>
      <c r="M1784" s="77">
        <f t="shared" ref="M1784:N1784" si="200">M1785+M1802+M1804+M1811</f>
        <v>4481137.07</v>
      </c>
      <c r="N1784" s="77">
        <f t="shared" si="200"/>
        <v>1779464.62</v>
      </c>
      <c r="O1784" s="834">
        <f>N1784/M1784</f>
        <v>0.39710113576150885</v>
      </c>
      <c r="P1784" s="774" t="s">
        <v>395</v>
      </c>
      <c r="Q1784" s="658"/>
      <c r="R1784" s="121"/>
      <c r="S1784" s="121"/>
      <c r="T1784" s="121"/>
      <c r="U1784" s="121"/>
      <c r="V1784" s="121"/>
      <c r="W1784" s="121"/>
      <c r="X1784" s="121"/>
      <c r="Y1784" s="121"/>
      <c r="Z1784" s="121"/>
      <c r="AA1784" s="121"/>
      <c r="AB1784" s="121"/>
      <c r="AC1784" s="121"/>
      <c r="AD1784" s="121"/>
      <c r="AE1784" s="121"/>
      <c r="AF1784" s="121"/>
    </row>
    <row r="1785" spans="1:32" s="64" customFormat="1" ht="67.5" customHeight="1">
      <c r="A1785" s="388"/>
      <c r="B1785" s="75">
        <v>92109</v>
      </c>
      <c r="C1785" s="74"/>
      <c r="D1785" s="73"/>
      <c r="E1785" s="72" t="s">
        <v>144</v>
      </c>
      <c r="F1785" s="409">
        <f t="shared" ref="F1785:J1785" si="201">F1786+F1787+F1788+F1798+F1800</f>
        <v>0</v>
      </c>
      <c r="G1785" s="409">
        <f t="shared" si="201"/>
        <v>0</v>
      </c>
      <c r="H1785" s="409">
        <f t="shared" si="201"/>
        <v>0</v>
      </c>
      <c r="I1785" s="409">
        <f t="shared" si="201"/>
        <v>0</v>
      </c>
      <c r="J1785" s="409">
        <f t="shared" si="201"/>
        <v>0</v>
      </c>
      <c r="K1785" s="409">
        <f>K1786+K1787+K1788+K1798+K1800</f>
        <v>927459</v>
      </c>
      <c r="L1785" s="92">
        <f t="shared" ref="L1785:L1788" si="202">SUM(F1785:K1785)</f>
        <v>927459</v>
      </c>
      <c r="M1785" s="92">
        <f>M1786+M1787+M1788+M1798+M1800</f>
        <v>944982</v>
      </c>
      <c r="N1785" s="92">
        <f>N1786+N1787+N1788+N1798+N1800</f>
        <v>517523</v>
      </c>
      <c r="O1785" s="755">
        <f>N1785/M1785</f>
        <v>0.54765381774467659</v>
      </c>
      <c r="P1785" s="774" t="s">
        <v>395</v>
      </c>
      <c r="Q1785" s="658"/>
      <c r="R1785" s="117"/>
      <c r="S1785" s="117"/>
      <c r="T1785" s="117"/>
      <c r="U1785" s="117"/>
      <c r="V1785" s="117"/>
      <c r="W1785" s="117"/>
      <c r="X1785" s="117"/>
      <c r="Y1785" s="117"/>
      <c r="Z1785" s="117"/>
      <c r="AA1785" s="117"/>
      <c r="AB1785" s="117"/>
      <c r="AC1785" s="117"/>
      <c r="AD1785" s="117"/>
      <c r="AE1785" s="117"/>
      <c r="AF1785" s="117"/>
    </row>
    <row r="1786" spans="1:32" s="64" customFormat="1" ht="67.5" customHeight="1">
      <c r="A1786" s="388"/>
      <c r="B1786" s="119"/>
      <c r="C1786" s="98">
        <v>1</v>
      </c>
      <c r="D1786" s="97"/>
      <c r="E1786" s="118" t="s">
        <v>206</v>
      </c>
      <c r="F1786" s="187"/>
      <c r="G1786" s="432"/>
      <c r="H1786" s="432"/>
      <c r="I1786" s="432"/>
      <c r="J1786" s="432"/>
      <c r="K1786" s="95">
        <v>300</v>
      </c>
      <c r="L1786" s="95">
        <f t="shared" si="202"/>
        <v>300</v>
      </c>
      <c r="M1786" s="95">
        <v>300</v>
      </c>
      <c r="N1786" s="95">
        <v>0</v>
      </c>
      <c r="O1786" s="843">
        <v>0</v>
      </c>
      <c r="P1786" s="774" t="s">
        <v>395</v>
      </c>
      <c r="Q1786" s="658"/>
      <c r="R1786" s="117"/>
      <c r="S1786" s="117"/>
      <c r="T1786" s="117"/>
      <c r="U1786" s="117"/>
      <c r="V1786" s="117"/>
      <c r="W1786" s="117"/>
      <c r="X1786" s="117"/>
      <c r="Y1786" s="117"/>
      <c r="Z1786" s="117"/>
      <c r="AA1786" s="117"/>
      <c r="AB1786" s="117"/>
      <c r="AC1786" s="117"/>
      <c r="AD1786" s="117"/>
      <c r="AE1786" s="117"/>
      <c r="AF1786" s="117"/>
    </row>
    <row r="1787" spans="1:32" s="108" customFormat="1" ht="60" customHeight="1">
      <c r="A1787" s="387"/>
      <c r="B1787" s="114"/>
      <c r="C1787" s="384">
        <v>2</v>
      </c>
      <c r="D1787" s="112"/>
      <c r="E1787" s="111" t="s">
        <v>291</v>
      </c>
      <c r="F1787" s="491"/>
      <c r="G1787" s="110"/>
      <c r="H1787" s="110"/>
      <c r="I1787" s="110"/>
      <c r="J1787" s="110"/>
      <c r="K1787" s="451">
        <v>700000</v>
      </c>
      <c r="L1787" s="451">
        <f t="shared" si="202"/>
        <v>700000</v>
      </c>
      <c r="M1787" s="451">
        <v>700000</v>
      </c>
      <c r="N1787" s="451">
        <v>360000</v>
      </c>
      <c r="O1787" s="837">
        <f>N1787/M1787</f>
        <v>0.51428571428571423</v>
      </c>
      <c r="P1787" s="799" t="s">
        <v>395</v>
      </c>
      <c r="Q1787" s="677"/>
      <c r="R1787" s="109"/>
      <c r="S1787" s="109"/>
      <c r="T1787" s="109"/>
      <c r="U1787" s="109"/>
      <c r="V1787" s="109"/>
      <c r="W1787" s="109"/>
      <c r="X1787" s="109"/>
      <c r="Y1787" s="109"/>
      <c r="Z1787" s="109"/>
      <c r="AA1787" s="109"/>
      <c r="AB1787" s="109"/>
      <c r="AC1787" s="109"/>
      <c r="AD1787" s="109"/>
      <c r="AE1787" s="109"/>
      <c r="AF1787" s="109"/>
    </row>
    <row r="1788" spans="1:32" s="108" customFormat="1" ht="63.75" customHeight="1">
      <c r="A1788" s="387"/>
      <c r="B1788" s="114"/>
      <c r="C1788" s="113">
        <v>3</v>
      </c>
      <c r="D1788" s="112"/>
      <c r="E1788" s="111" t="s">
        <v>11</v>
      </c>
      <c r="F1788" s="491"/>
      <c r="G1788" s="110"/>
      <c r="H1788" s="110"/>
      <c r="I1788" s="110"/>
      <c r="J1788" s="110"/>
      <c r="K1788" s="451">
        <f>80000+80000</f>
        <v>160000</v>
      </c>
      <c r="L1788" s="451">
        <f t="shared" si="202"/>
        <v>160000</v>
      </c>
      <c r="M1788" s="451">
        <v>177523</v>
      </c>
      <c r="N1788" s="451">
        <v>157523</v>
      </c>
      <c r="O1788" s="837">
        <f>N1788/M1788</f>
        <v>0.88733854204807261</v>
      </c>
      <c r="P1788" s="799" t="s">
        <v>395</v>
      </c>
      <c r="Q1788" s="677"/>
      <c r="R1788" s="109"/>
      <c r="S1788" s="109"/>
      <c r="T1788" s="109"/>
      <c r="U1788" s="109"/>
      <c r="V1788" s="109"/>
      <c r="W1788" s="109"/>
      <c r="X1788" s="109"/>
      <c r="Y1788" s="109"/>
      <c r="Z1788" s="109"/>
      <c r="AA1788" s="109"/>
      <c r="AB1788" s="109"/>
      <c r="AC1788" s="109"/>
      <c r="AD1788" s="109"/>
      <c r="AE1788" s="109"/>
      <c r="AF1788" s="109"/>
    </row>
    <row r="1789" spans="1:32" s="427" customFormat="1" ht="62.25" customHeight="1">
      <c r="A1789" s="391"/>
      <c r="B1789" s="107"/>
      <c r="C1789" s="106"/>
      <c r="D1789" s="459"/>
      <c r="E1789" s="418" t="s">
        <v>190</v>
      </c>
      <c r="F1789" s="362"/>
      <c r="G1789" s="105"/>
      <c r="H1789" s="105"/>
      <c r="I1789" s="105"/>
      <c r="J1789" s="105"/>
      <c r="K1789" s="105"/>
      <c r="L1789" s="105"/>
      <c r="M1789" s="105"/>
      <c r="N1789" s="105"/>
      <c r="O1789" s="846"/>
      <c r="P1789" s="776"/>
      <c r="Q1789" s="660"/>
      <c r="R1789" s="426"/>
      <c r="S1789" s="426"/>
      <c r="T1789" s="426"/>
      <c r="U1789" s="426"/>
      <c r="V1789" s="426"/>
      <c r="W1789" s="426"/>
      <c r="X1789" s="426"/>
      <c r="Y1789" s="426"/>
      <c r="Z1789" s="426"/>
      <c r="AA1789" s="426"/>
      <c r="AB1789" s="426"/>
      <c r="AC1789" s="426"/>
      <c r="AD1789" s="426"/>
      <c r="AE1789" s="426"/>
      <c r="AF1789" s="426"/>
    </row>
    <row r="1790" spans="1:32" s="427" customFormat="1" ht="37.799999999999997">
      <c r="A1790" s="391"/>
      <c r="B1790" s="107"/>
      <c r="C1790" s="106"/>
      <c r="D1790" s="459" t="s">
        <v>0</v>
      </c>
      <c r="E1790" s="418" t="s">
        <v>292</v>
      </c>
      <c r="F1790" s="362"/>
      <c r="G1790" s="105"/>
      <c r="H1790" s="105"/>
      <c r="I1790" s="105"/>
      <c r="J1790" s="105"/>
      <c r="K1790" s="105"/>
      <c r="L1790" s="105"/>
      <c r="M1790" s="105"/>
      <c r="N1790" s="105"/>
      <c r="O1790" s="846"/>
      <c r="P1790" s="776"/>
      <c r="Q1790" s="660"/>
      <c r="R1790" s="426"/>
      <c r="S1790" s="426"/>
      <c r="T1790" s="426"/>
      <c r="U1790" s="426"/>
      <c r="V1790" s="426"/>
      <c r="W1790" s="426"/>
      <c r="X1790" s="426"/>
      <c r="Y1790" s="426"/>
      <c r="Z1790" s="426"/>
      <c r="AA1790" s="426"/>
      <c r="AB1790" s="426"/>
      <c r="AC1790" s="426"/>
      <c r="AD1790" s="426"/>
      <c r="AE1790" s="426"/>
      <c r="AF1790" s="426"/>
    </row>
    <row r="1791" spans="1:32" s="427" customFormat="1" ht="42" customHeight="1">
      <c r="A1791" s="391"/>
      <c r="B1791" s="107"/>
      <c r="C1791" s="106"/>
      <c r="D1791" s="459" t="s">
        <v>0</v>
      </c>
      <c r="E1791" s="418" t="s">
        <v>10</v>
      </c>
      <c r="F1791" s="362"/>
      <c r="G1791" s="105"/>
      <c r="H1791" s="105"/>
      <c r="I1791" s="105"/>
      <c r="J1791" s="105"/>
      <c r="K1791" s="105"/>
      <c r="L1791" s="105"/>
      <c r="M1791" s="105"/>
      <c r="N1791" s="105"/>
      <c r="O1791" s="846"/>
      <c r="P1791" s="776"/>
      <c r="Q1791" s="660"/>
      <c r="R1791" s="426"/>
      <c r="S1791" s="426"/>
      <c r="T1791" s="426"/>
      <c r="U1791" s="426"/>
      <c r="V1791" s="426"/>
      <c r="W1791" s="426"/>
      <c r="X1791" s="426"/>
      <c r="Y1791" s="426"/>
      <c r="Z1791" s="426"/>
      <c r="AA1791" s="426"/>
      <c r="AB1791" s="426"/>
      <c r="AC1791" s="426"/>
      <c r="AD1791" s="426"/>
      <c r="AE1791" s="426"/>
      <c r="AF1791" s="426"/>
    </row>
    <row r="1792" spans="1:32" s="427" customFormat="1" ht="42" customHeight="1">
      <c r="A1792" s="391"/>
      <c r="B1792" s="107"/>
      <c r="C1792" s="106"/>
      <c r="D1792" s="459" t="s">
        <v>0</v>
      </c>
      <c r="E1792" s="418" t="s">
        <v>9</v>
      </c>
      <c r="F1792" s="362"/>
      <c r="G1792" s="105"/>
      <c r="H1792" s="105"/>
      <c r="I1792" s="105"/>
      <c r="J1792" s="105"/>
      <c r="K1792" s="105"/>
      <c r="L1792" s="105"/>
      <c r="M1792" s="105"/>
      <c r="N1792" s="105"/>
      <c r="O1792" s="846"/>
      <c r="P1792" s="776"/>
      <c r="Q1792" s="660"/>
      <c r="R1792" s="426"/>
      <c r="S1792" s="426"/>
      <c r="T1792" s="426"/>
      <c r="U1792" s="426"/>
      <c r="V1792" s="426"/>
      <c r="W1792" s="426"/>
      <c r="X1792" s="426"/>
      <c r="Y1792" s="426"/>
      <c r="Z1792" s="426"/>
      <c r="AA1792" s="426"/>
      <c r="AB1792" s="426"/>
      <c r="AC1792" s="426"/>
      <c r="AD1792" s="426"/>
      <c r="AE1792" s="426"/>
      <c r="AF1792" s="426"/>
    </row>
    <row r="1793" spans="1:32" s="427" customFormat="1" ht="105.75" customHeight="1">
      <c r="A1793" s="391"/>
      <c r="B1793" s="107"/>
      <c r="C1793" s="106"/>
      <c r="D1793" s="459" t="s">
        <v>0</v>
      </c>
      <c r="E1793" s="418" t="s">
        <v>170</v>
      </c>
      <c r="F1793" s="362"/>
      <c r="G1793" s="105"/>
      <c r="H1793" s="105"/>
      <c r="I1793" s="105"/>
      <c r="J1793" s="105"/>
      <c r="K1793" s="105"/>
      <c r="L1793" s="105"/>
      <c r="M1793" s="105"/>
      <c r="N1793" s="105"/>
      <c r="O1793" s="846"/>
      <c r="P1793" s="776"/>
      <c r="Q1793" s="660"/>
      <c r="R1793" s="426"/>
      <c r="S1793" s="426"/>
      <c r="T1793" s="426"/>
      <c r="U1793" s="426"/>
      <c r="V1793" s="426"/>
      <c r="W1793" s="426"/>
      <c r="X1793" s="426"/>
      <c r="Y1793" s="426"/>
      <c r="Z1793" s="426"/>
      <c r="AA1793" s="426"/>
      <c r="AB1793" s="426"/>
      <c r="AC1793" s="426"/>
      <c r="AD1793" s="426"/>
      <c r="AE1793" s="426"/>
      <c r="AF1793" s="426"/>
    </row>
    <row r="1794" spans="1:32" s="427" customFormat="1" ht="42" customHeight="1">
      <c r="A1794" s="391"/>
      <c r="B1794" s="107"/>
      <c r="C1794" s="106"/>
      <c r="D1794" s="459" t="s">
        <v>0</v>
      </c>
      <c r="E1794" s="418" t="s">
        <v>8</v>
      </c>
      <c r="F1794" s="362"/>
      <c r="G1794" s="105"/>
      <c r="H1794" s="105"/>
      <c r="I1794" s="105"/>
      <c r="J1794" s="105"/>
      <c r="K1794" s="105"/>
      <c r="L1794" s="105"/>
      <c r="M1794" s="105"/>
      <c r="N1794" s="105"/>
      <c r="O1794" s="846"/>
      <c r="P1794" s="776"/>
      <c r="Q1794" s="660"/>
      <c r="R1794" s="426"/>
      <c r="S1794" s="426"/>
      <c r="T1794" s="426"/>
      <c r="U1794" s="426"/>
      <c r="V1794" s="426"/>
      <c r="W1794" s="426"/>
      <c r="X1794" s="426"/>
      <c r="Y1794" s="426"/>
      <c r="Z1794" s="426"/>
      <c r="AA1794" s="426"/>
      <c r="AB1794" s="426"/>
      <c r="AC1794" s="426"/>
      <c r="AD1794" s="426"/>
      <c r="AE1794" s="426"/>
      <c r="AF1794" s="426"/>
    </row>
    <row r="1795" spans="1:32" s="427" customFormat="1" ht="67.5" customHeight="1">
      <c r="A1795" s="391"/>
      <c r="B1795" s="107"/>
      <c r="C1795" s="106"/>
      <c r="D1795" s="459" t="s">
        <v>0</v>
      </c>
      <c r="E1795" s="418" t="s">
        <v>293</v>
      </c>
      <c r="F1795" s="362"/>
      <c r="G1795" s="105"/>
      <c r="H1795" s="105"/>
      <c r="I1795" s="105"/>
      <c r="J1795" s="105"/>
      <c r="K1795" s="105"/>
      <c r="L1795" s="105"/>
      <c r="M1795" s="105"/>
      <c r="N1795" s="105"/>
      <c r="O1795" s="846"/>
      <c r="P1795" s="776"/>
      <c r="Q1795" s="660"/>
      <c r="R1795" s="426"/>
      <c r="S1795" s="426"/>
      <c r="T1795" s="426"/>
      <c r="U1795" s="426"/>
      <c r="V1795" s="426"/>
      <c r="W1795" s="426"/>
      <c r="X1795" s="426"/>
      <c r="Y1795" s="426"/>
      <c r="Z1795" s="426"/>
      <c r="AA1795" s="426"/>
      <c r="AB1795" s="426"/>
      <c r="AC1795" s="426"/>
      <c r="AD1795" s="426"/>
      <c r="AE1795" s="426"/>
      <c r="AF1795" s="426"/>
    </row>
    <row r="1796" spans="1:32" s="427" customFormat="1" ht="104.25" customHeight="1">
      <c r="A1796" s="391"/>
      <c r="B1796" s="392"/>
      <c r="C1796" s="603"/>
      <c r="D1796" s="459" t="s">
        <v>0</v>
      </c>
      <c r="E1796" s="299" t="s">
        <v>152</v>
      </c>
      <c r="F1796" s="511"/>
      <c r="G1796" s="417"/>
      <c r="H1796" s="417"/>
      <c r="I1796" s="417"/>
      <c r="J1796" s="417"/>
      <c r="K1796" s="417"/>
      <c r="L1796" s="417"/>
      <c r="M1796" s="417"/>
      <c r="N1796" s="417"/>
      <c r="O1796" s="874"/>
      <c r="P1796" s="776"/>
      <c r="Q1796" s="660"/>
      <c r="R1796" s="426"/>
      <c r="S1796" s="426"/>
      <c r="T1796" s="426"/>
      <c r="U1796" s="426"/>
      <c r="V1796" s="426"/>
      <c r="W1796" s="426"/>
      <c r="X1796" s="426"/>
      <c r="Y1796" s="426"/>
      <c r="Z1796" s="426"/>
      <c r="AA1796" s="426"/>
      <c r="AB1796" s="426"/>
      <c r="AC1796" s="426"/>
      <c r="AD1796" s="426"/>
      <c r="AE1796" s="426"/>
      <c r="AF1796" s="426"/>
    </row>
    <row r="1797" spans="1:32" s="427" customFormat="1" ht="42" customHeight="1">
      <c r="A1797" s="391"/>
      <c r="B1797" s="107"/>
      <c r="C1797" s="106"/>
      <c r="D1797" s="459" t="s">
        <v>0</v>
      </c>
      <c r="E1797" s="299" t="s">
        <v>216</v>
      </c>
      <c r="F1797" s="362"/>
      <c r="G1797" s="105"/>
      <c r="H1797" s="105"/>
      <c r="I1797" s="105"/>
      <c r="J1797" s="105"/>
      <c r="K1797" s="105"/>
      <c r="L1797" s="105"/>
      <c r="M1797" s="105"/>
      <c r="N1797" s="105"/>
      <c r="O1797" s="846"/>
      <c r="P1797" s="776"/>
      <c r="Q1797" s="660"/>
      <c r="R1797" s="426"/>
      <c r="S1797" s="426"/>
      <c r="T1797" s="426"/>
      <c r="U1797" s="426"/>
      <c r="V1797" s="426"/>
      <c r="W1797" s="426"/>
      <c r="X1797" s="426"/>
      <c r="Y1797" s="426"/>
      <c r="Z1797" s="426"/>
      <c r="AA1797" s="426"/>
      <c r="AB1797" s="426"/>
      <c r="AC1797" s="426"/>
      <c r="AD1797" s="426"/>
      <c r="AE1797" s="426"/>
      <c r="AF1797" s="426"/>
    </row>
    <row r="1798" spans="1:32" s="427" customFormat="1" ht="91.5" customHeight="1">
      <c r="A1798" s="1211"/>
      <c r="B1798" s="1212"/>
      <c r="C1798" s="593">
        <v>4</v>
      </c>
      <c r="D1798" s="1329"/>
      <c r="E1798" s="825" t="s">
        <v>351</v>
      </c>
      <c r="F1798" s="1330"/>
      <c r="G1798" s="1331"/>
      <c r="H1798" s="1331"/>
      <c r="I1798" s="1331"/>
      <c r="J1798" s="1331"/>
      <c r="K1798" s="564">
        <v>10000</v>
      </c>
      <c r="L1798" s="564">
        <f>SUM(F1798:K1798)</f>
        <v>10000</v>
      </c>
      <c r="M1798" s="564">
        <v>10000</v>
      </c>
      <c r="N1798" s="564">
        <v>0</v>
      </c>
      <c r="O1798" s="763">
        <v>0</v>
      </c>
      <c r="P1798" s="776" t="s">
        <v>395</v>
      </c>
      <c r="Q1798" s="660"/>
      <c r="R1798" s="426"/>
      <c r="S1798" s="426"/>
      <c r="T1798" s="426"/>
      <c r="U1798" s="426"/>
      <c r="V1798" s="426"/>
      <c r="W1798" s="426"/>
      <c r="X1798" s="426"/>
      <c r="Y1798" s="426"/>
      <c r="Z1798" s="426"/>
      <c r="AA1798" s="426"/>
      <c r="AB1798" s="426"/>
      <c r="AC1798" s="426"/>
      <c r="AD1798" s="426"/>
      <c r="AE1798" s="426"/>
      <c r="AF1798" s="426"/>
    </row>
    <row r="1799" spans="1:32" s="427" customFormat="1" ht="43.8" customHeight="1">
      <c r="A1799" s="1211"/>
      <c r="B1799" s="1212"/>
      <c r="C1799" s="1174"/>
      <c r="D1799" s="459"/>
      <c r="E1799" s="1326" t="s">
        <v>745</v>
      </c>
      <c r="F1799" s="1332"/>
      <c r="G1799" s="1021"/>
      <c r="H1799" s="1021"/>
      <c r="I1799" s="1021"/>
      <c r="J1799" s="1021"/>
      <c r="K1799" s="980"/>
      <c r="L1799" s="980"/>
      <c r="M1799" s="980"/>
      <c r="N1799" s="980"/>
      <c r="O1799" s="981"/>
      <c r="P1799" s="776"/>
      <c r="Q1799" s="660"/>
      <c r="R1799" s="426"/>
      <c r="S1799" s="426"/>
      <c r="T1799" s="426"/>
      <c r="U1799" s="426"/>
      <c r="V1799" s="426"/>
      <c r="W1799" s="426"/>
      <c r="X1799" s="426"/>
      <c r="Y1799" s="426"/>
      <c r="Z1799" s="426"/>
      <c r="AA1799" s="426"/>
      <c r="AB1799" s="426"/>
      <c r="AC1799" s="426"/>
      <c r="AD1799" s="426"/>
      <c r="AE1799" s="426"/>
      <c r="AF1799" s="426"/>
    </row>
    <row r="1800" spans="1:32" s="427" customFormat="1" ht="117.75" customHeight="1">
      <c r="A1800" s="1211"/>
      <c r="B1800" s="1212"/>
      <c r="C1800" s="630">
        <v>5</v>
      </c>
      <c r="D1800" s="1328"/>
      <c r="E1800" s="698" t="s">
        <v>365</v>
      </c>
      <c r="F1800" s="565"/>
      <c r="G1800" s="564"/>
      <c r="H1800" s="564"/>
      <c r="I1800" s="564"/>
      <c r="J1800" s="564"/>
      <c r="K1800" s="564">
        <v>57159</v>
      </c>
      <c r="L1800" s="564">
        <f>K1800</f>
        <v>57159</v>
      </c>
      <c r="M1800" s="564">
        <f>L1800</f>
        <v>57159</v>
      </c>
      <c r="N1800" s="564">
        <v>0</v>
      </c>
      <c r="O1800" s="763">
        <v>0</v>
      </c>
      <c r="P1800" s="776" t="s">
        <v>395</v>
      </c>
      <c r="Q1800" s="660"/>
      <c r="R1800" s="426"/>
      <c r="S1800" s="426"/>
      <c r="T1800" s="426"/>
      <c r="U1800" s="426"/>
      <c r="V1800" s="426"/>
      <c r="W1800" s="426"/>
      <c r="X1800" s="426"/>
      <c r="Y1800" s="426"/>
      <c r="Z1800" s="426"/>
      <c r="AA1800" s="426"/>
      <c r="AB1800" s="426"/>
      <c r="AC1800" s="426"/>
      <c r="AD1800" s="426"/>
      <c r="AE1800" s="426"/>
      <c r="AF1800" s="426"/>
    </row>
    <row r="1801" spans="1:32" s="427" customFormat="1" ht="58.8" customHeight="1">
      <c r="A1801" s="1211"/>
      <c r="B1801" s="1212"/>
      <c r="C1801" s="1325"/>
      <c r="D1801" s="747"/>
      <c r="E1801" s="1190" t="s">
        <v>777</v>
      </c>
      <c r="F1801" s="1312"/>
      <c r="G1801" s="980"/>
      <c r="H1801" s="980"/>
      <c r="I1801" s="980"/>
      <c r="J1801" s="980"/>
      <c r="K1801" s="980"/>
      <c r="L1801" s="980"/>
      <c r="M1801" s="980"/>
      <c r="N1801" s="980"/>
      <c r="O1801" s="981"/>
      <c r="P1801" s="776"/>
      <c r="Q1801" s="660"/>
      <c r="R1801" s="426"/>
      <c r="S1801" s="426"/>
      <c r="T1801" s="426"/>
      <c r="U1801" s="426"/>
      <c r="V1801" s="426"/>
      <c r="W1801" s="426"/>
      <c r="X1801" s="426"/>
      <c r="Y1801" s="426"/>
      <c r="Z1801" s="426"/>
      <c r="AA1801" s="426"/>
      <c r="AB1801" s="426"/>
      <c r="AC1801" s="426"/>
      <c r="AD1801" s="426"/>
      <c r="AE1801" s="426"/>
      <c r="AF1801" s="426"/>
    </row>
    <row r="1802" spans="1:32" s="64" customFormat="1" ht="66.75" customHeight="1">
      <c r="A1802" s="388"/>
      <c r="B1802" s="75">
        <v>92116</v>
      </c>
      <c r="C1802" s="99"/>
      <c r="D1802" s="73"/>
      <c r="E1802" s="72" t="s">
        <v>7</v>
      </c>
      <c r="F1802" s="409">
        <v>0</v>
      </c>
      <c r="G1802" s="92">
        <v>0</v>
      </c>
      <c r="H1802" s="92">
        <v>0</v>
      </c>
      <c r="I1802" s="92">
        <v>0</v>
      </c>
      <c r="J1802" s="92">
        <v>0</v>
      </c>
      <c r="K1802" s="92">
        <f>K1803</f>
        <v>860000</v>
      </c>
      <c r="L1802" s="92">
        <f t="shared" ref="L1802:L1806" si="203">SUM(F1802:K1802)</f>
        <v>860000</v>
      </c>
      <c r="M1802" s="92">
        <f>M1803</f>
        <v>860000</v>
      </c>
      <c r="N1802" s="92">
        <f>N1803</f>
        <v>480000</v>
      </c>
      <c r="O1802" s="755">
        <f>N1802/M1802</f>
        <v>0.55813953488372092</v>
      </c>
      <c r="P1802" s="764" t="s">
        <v>395</v>
      </c>
      <c r="Q1802" s="650"/>
    </row>
    <row r="1803" spans="1:32" s="94" customFormat="1" ht="81" customHeight="1">
      <c r="A1803" s="388"/>
      <c r="B1803" s="62"/>
      <c r="C1803" s="98">
        <v>1</v>
      </c>
      <c r="D1803" s="97"/>
      <c r="E1803" s="96" t="s">
        <v>6</v>
      </c>
      <c r="F1803" s="530"/>
      <c r="G1803" s="95"/>
      <c r="H1803" s="95"/>
      <c r="I1803" s="95"/>
      <c r="J1803" s="95"/>
      <c r="K1803" s="95">
        <v>860000</v>
      </c>
      <c r="L1803" s="95">
        <f t="shared" si="203"/>
        <v>860000</v>
      </c>
      <c r="M1803" s="95">
        <v>860000</v>
      </c>
      <c r="N1803" s="95">
        <v>480000</v>
      </c>
      <c r="O1803" s="843">
        <f>N1803/M1803</f>
        <v>0.55813953488372092</v>
      </c>
      <c r="P1803" s="766" t="s">
        <v>395</v>
      </c>
      <c r="Q1803" s="649"/>
    </row>
    <row r="1804" spans="1:32" s="64" customFormat="1" ht="66.75" customHeight="1">
      <c r="A1804" s="388"/>
      <c r="B1804" s="75">
        <v>92120</v>
      </c>
      <c r="C1804" s="99"/>
      <c r="D1804" s="73"/>
      <c r="E1804" s="72" t="s">
        <v>217</v>
      </c>
      <c r="F1804" s="409">
        <f>F1805+F1806+F1808</f>
        <v>0</v>
      </c>
      <c r="G1804" s="409">
        <f t="shared" ref="G1804:K1804" si="204">G1805+G1806+G1808</f>
        <v>0</v>
      </c>
      <c r="H1804" s="409" t="e">
        <f t="shared" si="204"/>
        <v>#REF!</v>
      </c>
      <c r="I1804" s="409">
        <f t="shared" si="204"/>
        <v>0</v>
      </c>
      <c r="J1804" s="409">
        <f t="shared" si="204"/>
        <v>0</v>
      </c>
      <c r="K1804" s="409" t="e">
        <f t="shared" si="204"/>
        <v>#REF!</v>
      </c>
      <c r="L1804" s="92">
        <f>L1805+L1806+L1808</f>
        <v>2491727</v>
      </c>
      <c r="M1804" s="92">
        <f>M1805+M1806+M1808</f>
        <v>2614664</v>
      </c>
      <c r="N1804" s="92">
        <f>N1805+N1806+N1808</f>
        <v>739672.08</v>
      </c>
      <c r="O1804" s="755">
        <f>N1804/M1804</f>
        <v>0.28289374084012325</v>
      </c>
      <c r="P1804" s="764" t="s">
        <v>395</v>
      </c>
      <c r="Q1804" s="650"/>
    </row>
    <row r="1805" spans="1:32" s="410" customFormat="1" ht="66.75" customHeight="1">
      <c r="A1805" s="388"/>
      <c r="B1805" s="62"/>
      <c r="C1805" s="98">
        <v>1</v>
      </c>
      <c r="D1805" s="97"/>
      <c r="E1805" s="118" t="s">
        <v>243</v>
      </c>
      <c r="F1805" s="530"/>
      <c r="G1805" s="95"/>
      <c r="H1805" s="95"/>
      <c r="I1805" s="95"/>
      <c r="J1805" s="95"/>
      <c r="K1805" s="95">
        <v>8000</v>
      </c>
      <c r="L1805" s="95">
        <f t="shared" si="203"/>
        <v>8000</v>
      </c>
      <c r="M1805" s="95">
        <v>8000</v>
      </c>
      <c r="N1805" s="95">
        <v>0</v>
      </c>
      <c r="O1805" s="843">
        <v>0</v>
      </c>
      <c r="P1805" s="766" t="s">
        <v>395</v>
      </c>
      <c r="Q1805" s="649"/>
    </row>
    <row r="1806" spans="1:32" s="410" customFormat="1" ht="91.5" customHeight="1">
      <c r="A1806" s="1153"/>
      <c r="B1806" s="1169"/>
      <c r="C1806" s="560">
        <v>2</v>
      </c>
      <c r="D1806" s="561"/>
      <c r="E1806" s="562" t="s">
        <v>256</v>
      </c>
      <c r="F1806" s="563"/>
      <c r="G1806" s="828"/>
      <c r="H1806" s="828"/>
      <c r="I1806" s="828"/>
      <c r="J1806" s="828"/>
      <c r="K1806" s="828">
        <v>100000</v>
      </c>
      <c r="L1806" s="828">
        <f t="shared" si="203"/>
        <v>100000</v>
      </c>
      <c r="M1806" s="828">
        <v>100000</v>
      </c>
      <c r="N1806" s="828">
        <v>0</v>
      </c>
      <c r="O1806" s="829">
        <v>0</v>
      </c>
      <c r="P1806" s="766" t="s">
        <v>395</v>
      </c>
      <c r="Q1806" s="649"/>
    </row>
    <row r="1807" spans="1:32" s="410" customFormat="1" ht="71.400000000000006" customHeight="1">
      <c r="A1807" s="1153"/>
      <c r="B1807" s="1169"/>
      <c r="C1807" s="1025"/>
      <c r="D1807" s="425"/>
      <c r="E1807" s="1333" t="s">
        <v>778</v>
      </c>
      <c r="F1807" s="1333"/>
      <c r="G1807" s="1333"/>
      <c r="H1807" s="1333"/>
      <c r="I1807" s="1333"/>
      <c r="J1807" s="1333"/>
      <c r="K1807" s="1333"/>
      <c r="L1807" s="1333"/>
      <c r="M1807" s="1333"/>
      <c r="N1807" s="1333"/>
      <c r="O1807" s="1334"/>
      <c r="P1807" s="766"/>
      <c r="Q1807" s="649"/>
    </row>
    <row r="1808" spans="1:32" s="410" customFormat="1" ht="74.25" customHeight="1">
      <c r="A1808" s="685"/>
      <c r="B1808" s="692"/>
      <c r="C1808" s="630">
        <v>3</v>
      </c>
      <c r="D1808" s="1328"/>
      <c r="E1808" s="698" t="s">
        <v>290</v>
      </c>
      <c r="F1808" s="565"/>
      <c r="G1808" s="564"/>
      <c r="H1808" s="564" t="e">
        <f>#REF!+#REF!</f>
        <v>#REF!</v>
      </c>
      <c r="I1808" s="564"/>
      <c r="J1808" s="564"/>
      <c r="K1808" s="564" t="e">
        <f>#REF!+#REF!</f>
        <v>#REF!</v>
      </c>
      <c r="L1808" s="564">
        <v>2383727</v>
      </c>
      <c r="M1808" s="564">
        <v>2506664</v>
      </c>
      <c r="N1808" s="564">
        <v>739672.08</v>
      </c>
      <c r="O1808" s="763">
        <f>N1808/M1808</f>
        <v>0.29508226072580929</v>
      </c>
      <c r="P1808" s="766" t="s">
        <v>395</v>
      </c>
      <c r="Q1808" s="649"/>
    </row>
    <row r="1809" spans="1:243" s="410" customFormat="1" ht="135.75" customHeight="1">
      <c r="A1809" s="685"/>
      <c r="B1809" s="692"/>
      <c r="C1809" s="353"/>
      <c r="D1809" s="747"/>
      <c r="E1809" s="1271" t="s">
        <v>780</v>
      </c>
      <c r="F1809" s="1271"/>
      <c r="G1809" s="1271"/>
      <c r="H1809" s="1271"/>
      <c r="I1809" s="1271"/>
      <c r="J1809" s="1271"/>
      <c r="K1809" s="1271"/>
      <c r="L1809" s="1271"/>
      <c r="M1809" s="1271"/>
      <c r="N1809" s="1271"/>
      <c r="O1809" s="1272"/>
      <c r="P1809" s="766"/>
      <c r="Q1809" s="649"/>
    </row>
    <row r="1810" spans="1:243" s="410" customFormat="1" ht="61.5" customHeight="1">
      <c r="A1810" s="685"/>
      <c r="B1810" s="692"/>
      <c r="C1810" s="1183"/>
      <c r="D1810" s="1184"/>
      <c r="E1810" s="1254" t="s">
        <v>779</v>
      </c>
      <c r="F1810" s="1254"/>
      <c r="G1810" s="1254"/>
      <c r="H1810" s="1254"/>
      <c r="I1810" s="1254"/>
      <c r="J1810" s="1254"/>
      <c r="K1810" s="1254"/>
      <c r="L1810" s="1254"/>
      <c r="M1810" s="1254"/>
      <c r="N1810" s="1254"/>
      <c r="O1810" s="1255"/>
      <c r="P1810" s="766"/>
      <c r="Q1810" s="649"/>
    </row>
    <row r="1811" spans="1:243" s="64" customFormat="1" ht="63.75" customHeight="1">
      <c r="A1811" s="388"/>
      <c r="B1811" s="75">
        <v>92195</v>
      </c>
      <c r="C1811" s="74"/>
      <c r="D1811" s="73"/>
      <c r="E1811" s="72" t="s">
        <v>5</v>
      </c>
      <c r="F1811" s="92">
        <f t="shared" ref="F1811:L1811" si="205">SUM(F1812:F1819)</f>
        <v>0</v>
      </c>
      <c r="G1811" s="92">
        <f t="shared" si="205"/>
        <v>0</v>
      </c>
      <c r="H1811" s="92">
        <f t="shared" si="205"/>
        <v>0</v>
      </c>
      <c r="I1811" s="92">
        <f t="shared" si="205"/>
        <v>0</v>
      </c>
      <c r="J1811" s="92">
        <f t="shared" si="205"/>
        <v>0</v>
      </c>
      <c r="K1811" s="92">
        <f t="shared" si="205"/>
        <v>16041.07</v>
      </c>
      <c r="L1811" s="92">
        <f t="shared" si="205"/>
        <v>16041.07</v>
      </c>
      <c r="M1811" s="92">
        <f>M1812+M1813+M1815+M1817+M1819+M1820</f>
        <v>61491.07</v>
      </c>
      <c r="N1811" s="92">
        <f>N1812+N1813+N1815+N1817+N1819+N1820</f>
        <v>42269.54</v>
      </c>
      <c r="O1811" s="755">
        <f>N1811/M1811</f>
        <v>0.68740940757739299</v>
      </c>
      <c r="P1811" s="764" t="s">
        <v>395</v>
      </c>
      <c r="Q1811" s="650"/>
    </row>
    <row r="1812" spans="1:243" s="76" customFormat="1" ht="108.75" customHeight="1">
      <c r="A1812" s="388"/>
      <c r="B1812" s="88"/>
      <c r="C1812" s="384">
        <v>1</v>
      </c>
      <c r="D1812" s="115"/>
      <c r="E1812" s="399" t="s">
        <v>218</v>
      </c>
      <c r="F1812" s="205"/>
      <c r="G1812" s="451"/>
      <c r="H1812" s="451"/>
      <c r="I1812" s="451"/>
      <c r="J1812" s="451"/>
      <c r="K1812" s="451">
        <v>1500</v>
      </c>
      <c r="L1812" s="451">
        <f t="shared" ref="L1812:L1822" si="206">SUM(F1812:K1812)</f>
        <v>1500</v>
      </c>
      <c r="M1812" s="451">
        <v>1850</v>
      </c>
      <c r="N1812" s="451">
        <v>1463.64</v>
      </c>
      <c r="O1812" s="837">
        <f>N1812/M1812</f>
        <v>0.79115675675675678</v>
      </c>
      <c r="P1812" s="764" t="s">
        <v>395</v>
      </c>
      <c r="Q1812" s="650"/>
    </row>
    <row r="1813" spans="1:243" s="76" customFormat="1" ht="138.75" customHeight="1">
      <c r="A1813" s="388"/>
      <c r="B1813" s="397"/>
      <c r="C1813" s="384">
        <v>2</v>
      </c>
      <c r="D1813" s="115"/>
      <c r="E1813" s="399" t="s">
        <v>4</v>
      </c>
      <c r="F1813" s="205"/>
      <c r="G1813" s="205"/>
      <c r="H1813" s="205"/>
      <c r="I1813" s="205"/>
      <c r="J1813" s="205"/>
      <c r="K1813" s="205">
        <v>5000</v>
      </c>
      <c r="L1813" s="451">
        <f t="shared" si="206"/>
        <v>5000</v>
      </c>
      <c r="M1813" s="451">
        <v>5000</v>
      </c>
      <c r="N1813" s="451">
        <v>5000</v>
      </c>
      <c r="O1813" s="837">
        <f>N1813/M1813</f>
        <v>1</v>
      </c>
      <c r="P1813" s="764" t="s">
        <v>395</v>
      </c>
      <c r="Q1813" s="650"/>
    </row>
    <row r="1814" spans="1:243" s="76" customFormat="1" ht="111.6" customHeight="1">
      <c r="A1814" s="1153"/>
      <c r="B1814" s="1143"/>
      <c r="C1814" s="23"/>
      <c r="D1814" s="411"/>
      <c r="E1814" s="1273" t="s">
        <v>719</v>
      </c>
      <c r="F1814" s="1273"/>
      <c r="G1814" s="1273"/>
      <c r="H1814" s="1273"/>
      <c r="I1814" s="1273"/>
      <c r="J1814" s="1273"/>
      <c r="K1814" s="1273"/>
      <c r="L1814" s="1273"/>
      <c r="M1814" s="1273"/>
      <c r="N1814" s="1273"/>
      <c r="O1814" s="1274"/>
      <c r="P1814" s="650"/>
      <c r="Q1814" s="824"/>
      <c r="R1814" s="650"/>
    </row>
    <row r="1815" spans="1:243" s="410" customFormat="1" ht="74.25" customHeight="1">
      <c r="A1815" s="1153"/>
      <c r="B1815" s="1143"/>
      <c r="C1815" s="593">
        <v>3</v>
      </c>
      <c r="D1815" s="697"/>
      <c r="E1815" s="830" t="s">
        <v>317</v>
      </c>
      <c r="F1815" s="565"/>
      <c r="G1815" s="564"/>
      <c r="H1815" s="564"/>
      <c r="I1815" s="564"/>
      <c r="J1815" s="564"/>
      <c r="K1815" s="564">
        <v>3541.07</v>
      </c>
      <c r="L1815" s="564">
        <f t="shared" si="206"/>
        <v>3541.07</v>
      </c>
      <c r="M1815" s="564">
        <v>3541.07</v>
      </c>
      <c r="N1815" s="564">
        <v>1006.22</v>
      </c>
      <c r="O1815" s="763">
        <f>N1815/M1815</f>
        <v>0.284157048575713</v>
      </c>
      <c r="P1815" s="766" t="s">
        <v>395</v>
      </c>
      <c r="Q1815" s="649"/>
    </row>
    <row r="1816" spans="1:243" s="76" customFormat="1" ht="46.2" customHeight="1">
      <c r="A1816" s="1153"/>
      <c r="B1816" s="1143"/>
      <c r="C1816" s="116"/>
      <c r="D1816" s="1152"/>
      <c r="E1816" s="1335" t="s">
        <v>755</v>
      </c>
      <c r="F1816" s="1336"/>
      <c r="G1816" s="628"/>
      <c r="H1816" s="628"/>
      <c r="I1816" s="628"/>
      <c r="J1816" s="628"/>
      <c r="K1816" s="628"/>
      <c r="L1816" s="628"/>
      <c r="M1816" s="628"/>
      <c r="N1816" s="628"/>
      <c r="O1816" s="858"/>
      <c r="P1816" s="764"/>
      <c r="Q1816" s="650"/>
    </row>
    <row r="1817" spans="1:243" s="410" customFormat="1" ht="74.25" customHeight="1">
      <c r="A1817" s="1153"/>
      <c r="B1817" s="1143"/>
      <c r="C1817" s="593">
        <v>4</v>
      </c>
      <c r="D1817" s="697"/>
      <c r="E1817" s="830" t="s">
        <v>316</v>
      </c>
      <c r="F1817" s="565"/>
      <c r="G1817" s="564"/>
      <c r="H1817" s="564"/>
      <c r="I1817" s="564"/>
      <c r="J1817" s="564"/>
      <c r="K1817" s="564">
        <v>1000</v>
      </c>
      <c r="L1817" s="564">
        <f t="shared" si="206"/>
        <v>1000</v>
      </c>
      <c r="M1817" s="564">
        <v>1000</v>
      </c>
      <c r="N1817" s="564">
        <v>0</v>
      </c>
      <c r="O1817" s="763">
        <v>0</v>
      </c>
      <c r="P1817" s="766" t="s">
        <v>395</v>
      </c>
      <c r="Q1817" s="649"/>
    </row>
    <row r="1818" spans="1:243" s="76" customFormat="1" ht="46.2" customHeight="1">
      <c r="A1818" s="1153"/>
      <c r="B1818" s="1143"/>
      <c r="C1818" s="116"/>
      <c r="D1818" s="1152"/>
      <c r="E1818" s="1335" t="s">
        <v>755</v>
      </c>
      <c r="F1818" s="1336"/>
      <c r="G1818" s="628"/>
      <c r="H1818" s="628"/>
      <c r="I1818" s="628"/>
      <c r="J1818" s="628"/>
      <c r="K1818" s="628"/>
      <c r="L1818" s="628"/>
      <c r="M1818" s="628"/>
      <c r="N1818" s="628"/>
      <c r="O1818" s="858"/>
      <c r="P1818" s="764"/>
      <c r="Q1818" s="650"/>
    </row>
    <row r="1819" spans="1:243" s="76" customFormat="1" ht="64.5" customHeight="1">
      <c r="A1819" s="388"/>
      <c r="B1819" s="397"/>
      <c r="C1819" s="23">
        <v>5</v>
      </c>
      <c r="D1819" s="91"/>
      <c r="E1819" s="90" t="s">
        <v>232</v>
      </c>
      <c r="F1819" s="412"/>
      <c r="G1819" s="412"/>
      <c r="H1819" s="412"/>
      <c r="I1819" s="412"/>
      <c r="J1819" s="412"/>
      <c r="K1819" s="612">
        <v>5000</v>
      </c>
      <c r="L1819" s="413">
        <f t="shared" si="206"/>
        <v>5000</v>
      </c>
      <c r="M1819" s="413">
        <v>5000</v>
      </c>
      <c r="N1819" s="413">
        <v>4999.68</v>
      </c>
      <c r="O1819" s="842">
        <f>N1819/M1819</f>
        <v>0.99993600000000005</v>
      </c>
      <c r="P1819" s="764" t="s">
        <v>395</v>
      </c>
      <c r="Q1819" s="650"/>
    </row>
    <row r="1820" spans="1:243" s="410" customFormat="1" ht="96.75" customHeight="1">
      <c r="A1820" s="685"/>
      <c r="B1820" s="696"/>
      <c r="C1820" s="593">
        <v>6</v>
      </c>
      <c r="D1820" s="697"/>
      <c r="E1820" s="830" t="s">
        <v>393</v>
      </c>
      <c r="F1820" s="565"/>
      <c r="G1820" s="564"/>
      <c r="H1820" s="564"/>
      <c r="I1820" s="564"/>
      <c r="J1820" s="564"/>
      <c r="K1820" s="564">
        <v>4326</v>
      </c>
      <c r="L1820" s="564">
        <v>0</v>
      </c>
      <c r="M1820" s="564">
        <v>45100</v>
      </c>
      <c r="N1820" s="564">
        <v>29800</v>
      </c>
      <c r="O1820" s="763">
        <f>N1820/M1820</f>
        <v>0.6607538802660754</v>
      </c>
      <c r="P1820" s="649" t="s">
        <v>395</v>
      </c>
      <c r="Q1820" s="756"/>
      <c r="R1820" s="649"/>
    </row>
    <row r="1821" spans="1:243" s="76" customFormat="1" ht="66" customHeight="1">
      <c r="A1821" s="685"/>
      <c r="B1821" s="696"/>
      <c r="C1821" s="23"/>
      <c r="D1821" s="411"/>
      <c r="E1821" s="1252" t="s">
        <v>385</v>
      </c>
      <c r="F1821" s="1252"/>
      <c r="G1821" s="1252"/>
      <c r="H1821" s="1252"/>
      <c r="I1821" s="1252"/>
      <c r="J1821" s="1252"/>
      <c r="K1821" s="1252"/>
      <c r="L1821" s="1252"/>
      <c r="M1821" s="1252"/>
      <c r="N1821" s="1252"/>
      <c r="O1821" s="1253"/>
      <c r="P1821" s="650"/>
      <c r="Q1821" s="824"/>
      <c r="R1821" s="650"/>
    </row>
    <row r="1822" spans="1:243" s="76" customFormat="1" ht="55.5" customHeight="1">
      <c r="A1822" s="83">
        <v>19</v>
      </c>
      <c r="B1822" s="82">
        <v>926</v>
      </c>
      <c r="C1822" s="81"/>
      <c r="D1822" s="80"/>
      <c r="E1822" s="79" t="s">
        <v>146</v>
      </c>
      <c r="F1822" s="78">
        <f>F1823</f>
        <v>0</v>
      </c>
      <c r="G1822" s="78">
        <f t="shared" ref="G1822:K1822" si="207">G1823</f>
        <v>0</v>
      </c>
      <c r="H1822" s="78">
        <f t="shared" si="207"/>
        <v>0</v>
      </c>
      <c r="I1822" s="78">
        <f t="shared" si="207"/>
        <v>0</v>
      </c>
      <c r="J1822" s="78">
        <f t="shared" si="207"/>
        <v>0</v>
      </c>
      <c r="K1822" s="78">
        <f t="shared" si="207"/>
        <v>33600</v>
      </c>
      <c r="L1822" s="77">
        <f t="shared" si="206"/>
        <v>33600</v>
      </c>
      <c r="M1822" s="77">
        <f>M1823</f>
        <v>55150</v>
      </c>
      <c r="N1822" s="77">
        <f>N1823</f>
        <v>28250</v>
      </c>
      <c r="O1822" s="834">
        <f>N1822/M1822</f>
        <v>0.51223934723481412</v>
      </c>
      <c r="P1822" s="764"/>
      <c r="Q1822" s="650"/>
    </row>
    <row r="1823" spans="1:243" s="63" customFormat="1" ht="53.25" customHeight="1">
      <c r="A1823" s="388"/>
      <c r="B1823" s="75">
        <v>92605</v>
      </c>
      <c r="C1823" s="74"/>
      <c r="D1823" s="73"/>
      <c r="E1823" s="72" t="s">
        <v>147</v>
      </c>
      <c r="F1823" s="409">
        <f t="shared" ref="F1823:L1823" si="208">SUM(F1824:F1826)</f>
        <v>0</v>
      </c>
      <c r="G1823" s="409">
        <f t="shared" si="208"/>
        <v>0</v>
      </c>
      <c r="H1823" s="409">
        <f t="shared" si="208"/>
        <v>0</v>
      </c>
      <c r="I1823" s="409">
        <f t="shared" si="208"/>
        <v>0</v>
      </c>
      <c r="J1823" s="409">
        <f t="shared" si="208"/>
        <v>0</v>
      </c>
      <c r="K1823" s="409">
        <f t="shared" si="208"/>
        <v>33600</v>
      </c>
      <c r="L1823" s="92">
        <f t="shared" si="208"/>
        <v>33600</v>
      </c>
      <c r="M1823" s="92">
        <f>M1824+M1825+M1826+M1828</f>
        <v>55150</v>
      </c>
      <c r="N1823" s="92">
        <f>N1824+N1825+N1826+N1828</f>
        <v>28250</v>
      </c>
      <c r="O1823" s="755">
        <f>N1823/M1823</f>
        <v>0.51223934723481412</v>
      </c>
      <c r="P1823" s="800" t="s">
        <v>395</v>
      </c>
      <c r="Q1823" s="678"/>
      <c r="DZ1823" s="68"/>
      <c r="EA1823" s="67"/>
      <c r="EB1823" s="66"/>
      <c r="EC1823" s="65"/>
      <c r="ED1823" s="65"/>
      <c r="EE1823" s="65"/>
      <c r="EF1823" s="65"/>
      <c r="EG1823" s="65"/>
      <c r="EH1823" s="65"/>
      <c r="EI1823" s="65"/>
      <c r="EJ1823" s="71"/>
      <c r="EK1823" s="70"/>
      <c r="EL1823" s="69"/>
      <c r="EM1823" s="68"/>
      <c r="EN1823" s="67"/>
      <c r="EO1823" s="66"/>
      <c r="EP1823" s="65"/>
      <c r="EQ1823" s="65"/>
      <c r="ER1823" s="65"/>
      <c r="ES1823" s="65"/>
      <c r="ET1823" s="65"/>
      <c r="EU1823" s="65"/>
      <c r="EV1823" s="65"/>
      <c r="EW1823" s="71"/>
      <c r="EX1823" s="70"/>
      <c r="EY1823" s="69"/>
      <c r="EZ1823" s="68"/>
      <c r="FA1823" s="67"/>
      <c r="FB1823" s="66"/>
      <c r="FC1823" s="65"/>
      <c r="FD1823" s="65"/>
      <c r="FE1823" s="65"/>
      <c r="FF1823" s="65"/>
      <c r="FG1823" s="65"/>
      <c r="FH1823" s="65"/>
      <c r="FI1823" s="65"/>
      <c r="FJ1823" s="71"/>
      <c r="FK1823" s="70"/>
      <c r="FL1823" s="69"/>
      <c r="FM1823" s="68"/>
      <c r="FN1823" s="67"/>
      <c r="FO1823" s="66"/>
      <c r="FP1823" s="65"/>
      <c r="FQ1823" s="65"/>
      <c r="FR1823" s="65"/>
      <c r="FS1823" s="65"/>
      <c r="FT1823" s="65"/>
      <c r="FU1823" s="65"/>
      <c r="FV1823" s="65"/>
      <c r="FW1823" s="71"/>
      <c r="FX1823" s="70"/>
      <c r="FY1823" s="69"/>
      <c r="FZ1823" s="68"/>
      <c r="GA1823" s="67"/>
      <c r="GB1823" s="66"/>
      <c r="GC1823" s="65"/>
      <c r="GD1823" s="65"/>
      <c r="GE1823" s="65"/>
      <c r="GF1823" s="65"/>
      <c r="GG1823" s="65"/>
      <c r="GH1823" s="65"/>
      <c r="GI1823" s="65"/>
      <c r="GJ1823" s="71"/>
      <c r="GK1823" s="70"/>
      <c r="GL1823" s="69"/>
      <c r="GM1823" s="68"/>
      <c r="GN1823" s="67"/>
      <c r="GO1823" s="66"/>
      <c r="GP1823" s="65"/>
      <c r="GQ1823" s="65"/>
      <c r="GR1823" s="65"/>
      <c r="GS1823" s="65"/>
      <c r="GT1823" s="65"/>
      <c r="GU1823" s="65"/>
      <c r="GV1823" s="65"/>
      <c r="GW1823" s="71"/>
      <c r="GX1823" s="70"/>
      <c r="GY1823" s="69"/>
      <c r="GZ1823" s="68"/>
      <c r="HA1823" s="67"/>
      <c r="HB1823" s="66"/>
      <c r="HC1823" s="65"/>
      <c r="HD1823" s="65"/>
      <c r="HE1823" s="65"/>
      <c r="HF1823" s="65"/>
      <c r="HG1823" s="65"/>
      <c r="HH1823" s="65"/>
      <c r="HI1823" s="65"/>
      <c r="HJ1823" s="71"/>
      <c r="HK1823" s="70"/>
      <c r="HL1823" s="69"/>
      <c r="HM1823" s="68"/>
      <c r="HN1823" s="67"/>
      <c r="HO1823" s="66"/>
      <c r="HP1823" s="65"/>
      <c r="HQ1823" s="65"/>
      <c r="HR1823" s="65"/>
      <c r="HS1823" s="65"/>
      <c r="HT1823" s="65"/>
      <c r="HU1823" s="65"/>
      <c r="HV1823" s="65"/>
      <c r="HW1823" s="71"/>
      <c r="HX1823" s="70"/>
      <c r="HY1823" s="69"/>
      <c r="HZ1823" s="68"/>
      <c r="IA1823" s="67"/>
      <c r="IB1823" s="66"/>
      <c r="IC1823" s="65"/>
      <c r="ID1823" s="65"/>
      <c r="IE1823" s="65"/>
      <c r="IF1823" s="65"/>
      <c r="IG1823" s="64"/>
      <c r="IH1823" s="64"/>
      <c r="II1823" s="64"/>
    </row>
    <row r="1824" spans="1:243" s="52" customFormat="1" ht="69.75" customHeight="1">
      <c r="A1824" s="473"/>
      <c r="B1824" s="62"/>
      <c r="C1824" s="98">
        <v>1</v>
      </c>
      <c r="D1824" s="97"/>
      <c r="E1824" s="118" t="s">
        <v>171</v>
      </c>
      <c r="F1824" s="530"/>
      <c r="G1824" s="95"/>
      <c r="H1824" s="95"/>
      <c r="I1824" s="95"/>
      <c r="J1824" s="95"/>
      <c r="K1824" s="95">
        <v>8000</v>
      </c>
      <c r="L1824" s="95">
        <f t="shared" ref="L1824:L1832" si="209">SUM(F1824:K1824)</f>
        <v>8000</v>
      </c>
      <c r="M1824" s="95">
        <v>6050</v>
      </c>
      <c r="N1824" s="95">
        <v>6050</v>
      </c>
      <c r="O1824" s="843">
        <f>N1824/M1824</f>
        <v>1</v>
      </c>
      <c r="P1824" s="801" t="s">
        <v>395</v>
      </c>
      <c r="Q1824" s="679"/>
      <c r="DZ1824" s="55"/>
      <c r="EA1824" s="55"/>
      <c r="EB1824" s="54"/>
      <c r="EC1824" s="53"/>
      <c r="ED1824" s="53"/>
      <c r="EE1824" s="53"/>
      <c r="EF1824" s="53"/>
      <c r="EG1824" s="53"/>
      <c r="EH1824" s="53"/>
      <c r="EI1824" s="53"/>
      <c r="EJ1824" s="58"/>
      <c r="EK1824" s="57"/>
      <c r="EL1824" s="56"/>
      <c r="EM1824" s="55"/>
      <c r="EN1824" s="55"/>
      <c r="EO1824" s="54"/>
      <c r="EP1824" s="53"/>
      <c r="EQ1824" s="53"/>
      <c r="ER1824" s="53"/>
      <c r="ES1824" s="53"/>
      <c r="ET1824" s="53"/>
      <c r="EU1824" s="53"/>
      <c r="EV1824" s="53"/>
      <c r="EW1824" s="58"/>
      <c r="EX1824" s="57"/>
      <c r="EY1824" s="56"/>
      <c r="EZ1824" s="55"/>
      <c r="FA1824" s="55"/>
      <c r="FB1824" s="54"/>
      <c r="FC1824" s="53"/>
      <c r="FD1824" s="53"/>
      <c r="FE1824" s="53"/>
      <c r="FF1824" s="53"/>
      <c r="FG1824" s="53"/>
      <c r="FH1824" s="53"/>
      <c r="FI1824" s="53"/>
      <c r="FJ1824" s="58"/>
      <c r="FK1824" s="57"/>
      <c r="FL1824" s="56"/>
      <c r="FM1824" s="55"/>
      <c r="FN1824" s="55"/>
      <c r="FO1824" s="54"/>
      <c r="FP1824" s="53"/>
      <c r="FQ1824" s="53"/>
      <c r="FR1824" s="53"/>
      <c r="FS1824" s="53"/>
      <c r="FT1824" s="53"/>
      <c r="FU1824" s="53"/>
      <c r="FV1824" s="53"/>
      <c r="FW1824" s="58"/>
      <c r="FX1824" s="57"/>
      <c r="FY1824" s="56"/>
      <c r="FZ1824" s="55"/>
      <c r="GA1824" s="55"/>
      <c r="GB1824" s="54"/>
      <c r="GC1824" s="53"/>
      <c r="GD1824" s="53"/>
      <c r="GE1824" s="53"/>
      <c r="GF1824" s="53"/>
      <c r="GG1824" s="53"/>
      <c r="GH1824" s="53"/>
      <c r="GI1824" s="53"/>
      <c r="GJ1824" s="58"/>
      <c r="GK1824" s="57"/>
      <c r="GL1824" s="56"/>
      <c r="GM1824" s="55"/>
      <c r="GN1824" s="55"/>
      <c r="GO1824" s="54"/>
      <c r="GP1824" s="53"/>
      <c r="GQ1824" s="53"/>
      <c r="GR1824" s="53"/>
      <c r="GS1824" s="53"/>
      <c r="GT1824" s="53"/>
      <c r="GU1824" s="53"/>
      <c r="GV1824" s="53"/>
      <c r="GW1824" s="58"/>
      <c r="GX1824" s="57"/>
      <c r="GY1824" s="56"/>
      <c r="GZ1824" s="55"/>
      <c r="HA1824" s="55"/>
      <c r="HB1824" s="54"/>
      <c r="HC1824" s="53"/>
      <c r="HD1824" s="53"/>
      <c r="HE1824" s="53"/>
      <c r="HF1824" s="53"/>
      <c r="HG1824" s="53"/>
      <c r="HH1824" s="53"/>
      <c r="HI1824" s="53"/>
      <c r="HJ1824" s="58"/>
      <c r="HK1824" s="57"/>
      <c r="HL1824" s="56"/>
      <c r="HM1824" s="55"/>
      <c r="HN1824" s="55"/>
      <c r="HO1824" s="54"/>
      <c r="HP1824" s="53"/>
      <c r="HQ1824" s="53"/>
      <c r="HR1824" s="53"/>
      <c r="HS1824" s="53"/>
      <c r="HT1824" s="53"/>
      <c r="HU1824" s="53"/>
      <c r="HV1824" s="53"/>
      <c r="HW1824" s="58"/>
      <c r="HX1824" s="57"/>
      <c r="HY1824" s="56"/>
      <c r="HZ1824" s="55"/>
      <c r="IA1824" s="55"/>
      <c r="IB1824" s="54"/>
      <c r="IC1824" s="53"/>
      <c r="ID1824" s="53"/>
      <c r="IE1824" s="53"/>
      <c r="IF1824" s="53"/>
    </row>
    <row r="1825" spans="1:240" s="52" customFormat="1" ht="93.75" customHeight="1">
      <c r="A1825" s="473"/>
      <c r="B1825" s="471"/>
      <c r="C1825" s="453">
        <v>2</v>
      </c>
      <c r="D1825" s="454"/>
      <c r="E1825" s="457" t="s">
        <v>294</v>
      </c>
      <c r="F1825" s="518"/>
      <c r="G1825" s="277"/>
      <c r="H1825" s="277"/>
      <c r="I1825" s="277"/>
      <c r="J1825" s="277"/>
      <c r="K1825" s="277">
        <v>21600</v>
      </c>
      <c r="L1825" s="277">
        <f t="shared" si="209"/>
        <v>21600</v>
      </c>
      <c r="M1825" s="277">
        <v>21600</v>
      </c>
      <c r="N1825" s="277">
        <v>7200</v>
      </c>
      <c r="O1825" s="894">
        <f>N1825/M1825</f>
        <v>0.33333333333333331</v>
      </c>
      <c r="P1825" s="801" t="s">
        <v>395</v>
      </c>
      <c r="Q1825" s="679"/>
      <c r="DZ1825" s="55"/>
      <c r="EA1825" s="55"/>
      <c r="EB1825" s="54"/>
      <c r="EC1825" s="53"/>
      <c r="ED1825" s="53"/>
      <c r="EE1825" s="53"/>
      <c r="EF1825" s="53"/>
      <c r="EG1825" s="53"/>
      <c r="EH1825" s="53"/>
      <c r="EI1825" s="53"/>
      <c r="EJ1825" s="58"/>
      <c r="EK1825" s="57"/>
      <c r="EL1825" s="56"/>
      <c r="EM1825" s="55"/>
      <c r="EN1825" s="55"/>
      <c r="EO1825" s="54"/>
      <c r="EP1825" s="53"/>
      <c r="EQ1825" s="53"/>
      <c r="ER1825" s="53"/>
      <c r="ES1825" s="53"/>
      <c r="ET1825" s="53"/>
      <c r="EU1825" s="53"/>
      <c r="EV1825" s="53"/>
      <c r="EW1825" s="58"/>
      <c r="EX1825" s="57"/>
      <c r="EY1825" s="56"/>
      <c r="EZ1825" s="55"/>
      <c r="FA1825" s="55"/>
      <c r="FB1825" s="54"/>
      <c r="FC1825" s="53"/>
      <c r="FD1825" s="53"/>
      <c r="FE1825" s="53"/>
      <c r="FF1825" s="53"/>
      <c r="FG1825" s="53"/>
      <c r="FH1825" s="53"/>
      <c r="FI1825" s="53"/>
      <c r="FJ1825" s="58"/>
      <c r="FK1825" s="57"/>
      <c r="FL1825" s="56"/>
      <c r="FM1825" s="55"/>
      <c r="FN1825" s="55"/>
      <c r="FO1825" s="54"/>
      <c r="FP1825" s="53"/>
      <c r="FQ1825" s="53"/>
      <c r="FR1825" s="53"/>
      <c r="FS1825" s="53"/>
      <c r="FT1825" s="53"/>
      <c r="FU1825" s="53"/>
      <c r="FV1825" s="53"/>
      <c r="FW1825" s="58"/>
      <c r="FX1825" s="57"/>
      <c r="FY1825" s="56"/>
      <c r="FZ1825" s="55"/>
      <c r="GA1825" s="55"/>
      <c r="GB1825" s="54"/>
      <c r="GC1825" s="53"/>
      <c r="GD1825" s="53"/>
      <c r="GE1825" s="53"/>
      <c r="GF1825" s="53"/>
      <c r="GG1825" s="53"/>
      <c r="GH1825" s="53"/>
      <c r="GI1825" s="53"/>
      <c r="GJ1825" s="58"/>
      <c r="GK1825" s="57"/>
      <c r="GL1825" s="56"/>
      <c r="GM1825" s="55"/>
      <c r="GN1825" s="55"/>
      <c r="GO1825" s="54"/>
      <c r="GP1825" s="53"/>
      <c r="GQ1825" s="53"/>
      <c r="GR1825" s="53"/>
      <c r="GS1825" s="53"/>
      <c r="GT1825" s="53"/>
      <c r="GU1825" s="53"/>
      <c r="GV1825" s="53"/>
      <c r="GW1825" s="58"/>
      <c r="GX1825" s="57"/>
      <c r="GY1825" s="56"/>
      <c r="GZ1825" s="55"/>
      <c r="HA1825" s="55"/>
      <c r="HB1825" s="54"/>
      <c r="HC1825" s="53"/>
      <c r="HD1825" s="53"/>
      <c r="HE1825" s="53"/>
      <c r="HF1825" s="53"/>
      <c r="HG1825" s="53"/>
      <c r="HH1825" s="53"/>
      <c r="HI1825" s="53"/>
      <c r="HJ1825" s="58"/>
      <c r="HK1825" s="57"/>
      <c r="HL1825" s="56"/>
      <c r="HM1825" s="55"/>
      <c r="HN1825" s="55"/>
      <c r="HO1825" s="54"/>
      <c r="HP1825" s="53"/>
      <c r="HQ1825" s="53"/>
      <c r="HR1825" s="53"/>
      <c r="HS1825" s="53"/>
      <c r="HT1825" s="53"/>
      <c r="HU1825" s="53"/>
      <c r="HV1825" s="53"/>
      <c r="HW1825" s="58"/>
      <c r="HX1825" s="57"/>
      <c r="HY1825" s="56"/>
      <c r="HZ1825" s="55"/>
      <c r="IA1825" s="55"/>
      <c r="IB1825" s="54"/>
      <c r="IC1825" s="53"/>
      <c r="ID1825" s="53"/>
      <c r="IE1825" s="53"/>
      <c r="IF1825" s="53"/>
    </row>
    <row r="1826" spans="1:240" s="410" customFormat="1" ht="70.5" customHeight="1">
      <c r="A1826" s="1153"/>
      <c r="B1826" s="1143"/>
      <c r="C1826" s="1241">
        <v>3</v>
      </c>
      <c r="D1826" s="1337"/>
      <c r="E1826" s="830" t="s">
        <v>318</v>
      </c>
      <c r="F1826" s="565"/>
      <c r="G1826" s="564"/>
      <c r="H1826" s="564"/>
      <c r="I1826" s="564"/>
      <c r="J1826" s="564"/>
      <c r="K1826" s="564">
        <v>4000</v>
      </c>
      <c r="L1826" s="564">
        <f t="shared" si="209"/>
        <v>4000</v>
      </c>
      <c r="M1826" s="564">
        <v>4000</v>
      </c>
      <c r="N1826" s="564">
        <v>0</v>
      </c>
      <c r="O1826" s="763">
        <v>0</v>
      </c>
      <c r="P1826" s="766" t="s">
        <v>395</v>
      </c>
      <c r="Q1826" s="649"/>
    </row>
    <row r="1827" spans="1:240" s="76" customFormat="1" ht="58.8" customHeight="1">
      <c r="A1827" s="1153"/>
      <c r="B1827" s="1143"/>
      <c r="C1827" s="1338"/>
      <c r="D1827" s="1339"/>
      <c r="E1827" s="1335" t="s">
        <v>755</v>
      </c>
      <c r="F1827" s="1312"/>
      <c r="G1827" s="980"/>
      <c r="H1827" s="980"/>
      <c r="I1827" s="980"/>
      <c r="J1827" s="980"/>
      <c r="K1827" s="980"/>
      <c r="L1827" s="980"/>
      <c r="M1827" s="980"/>
      <c r="N1827" s="980"/>
      <c r="O1827" s="981"/>
      <c r="P1827" s="764"/>
      <c r="Q1827" s="650"/>
    </row>
    <row r="1828" spans="1:240" s="52" customFormat="1" ht="93.75" customHeight="1">
      <c r="A1828" s="831"/>
      <c r="B1828" s="692"/>
      <c r="C1828" s="560">
        <v>4</v>
      </c>
      <c r="D1828" s="561"/>
      <c r="E1828" s="562" t="s">
        <v>394</v>
      </c>
      <c r="F1828" s="563"/>
      <c r="G1828" s="828"/>
      <c r="H1828" s="828"/>
      <c r="I1828" s="828"/>
      <c r="J1828" s="828"/>
      <c r="K1828" s="828">
        <v>9000</v>
      </c>
      <c r="L1828" s="828">
        <v>0</v>
      </c>
      <c r="M1828" s="828">
        <v>23500</v>
      </c>
      <c r="N1828" s="828">
        <v>15000</v>
      </c>
      <c r="O1828" s="829">
        <f>N1828/M1828</f>
        <v>0.63829787234042556</v>
      </c>
      <c r="P1828" s="679" t="s">
        <v>395</v>
      </c>
      <c r="Q1828" s="832"/>
      <c r="R1828" s="679"/>
      <c r="DY1828" s="55"/>
      <c r="DZ1828" s="55"/>
      <c r="EA1828" s="54"/>
      <c r="EB1828" s="53"/>
      <c r="EC1828" s="53"/>
      <c r="ED1828" s="53"/>
      <c r="EE1828" s="53"/>
      <c r="EF1828" s="53"/>
      <c r="EG1828" s="53"/>
      <c r="EH1828" s="53"/>
      <c r="EI1828" s="58"/>
      <c r="EJ1828" s="833"/>
      <c r="EK1828" s="56"/>
      <c r="EL1828" s="55"/>
      <c r="EM1828" s="55"/>
      <c r="EN1828" s="54"/>
      <c r="EO1828" s="53"/>
      <c r="EP1828" s="53"/>
      <c r="EQ1828" s="53"/>
      <c r="ER1828" s="53"/>
      <c r="ES1828" s="53"/>
      <c r="ET1828" s="53"/>
      <c r="EU1828" s="53"/>
      <c r="EV1828" s="58"/>
      <c r="EW1828" s="833"/>
      <c r="EX1828" s="56"/>
      <c r="EY1828" s="55"/>
      <c r="EZ1828" s="55"/>
      <c r="FA1828" s="54"/>
      <c r="FB1828" s="53"/>
      <c r="FC1828" s="53"/>
      <c r="FD1828" s="53"/>
      <c r="FE1828" s="53"/>
      <c r="FF1828" s="53"/>
      <c r="FG1828" s="53"/>
      <c r="FH1828" s="53"/>
      <c r="FI1828" s="58"/>
      <c r="FJ1828" s="833"/>
      <c r="FK1828" s="56"/>
      <c r="FL1828" s="55"/>
      <c r="FM1828" s="55"/>
      <c r="FN1828" s="54"/>
      <c r="FO1828" s="53"/>
      <c r="FP1828" s="53"/>
      <c r="FQ1828" s="53"/>
      <c r="FR1828" s="53"/>
      <c r="FS1828" s="53"/>
      <c r="FT1828" s="53"/>
      <c r="FU1828" s="53"/>
      <c r="FV1828" s="58"/>
      <c r="FW1828" s="833"/>
      <c r="FX1828" s="56"/>
      <c r="FY1828" s="55"/>
      <c r="FZ1828" s="55"/>
      <c r="GA1828" s="54"/>
      <c r="GB1828" s="53"/>
      <c r="GC1828" s="53"/>
      <c r="GD1828" s="53"/>
      <c r="GE1828" s="53"/>
      <c r="GF1828" s="53"/>
      <c r="GG1828" s="53"/>
      <c r="GH1828" s="53"/>
      <c r="GI1828" s="58"/>
      <c r="GJ1828" s="833"/>
      <c r="GK1828" s="56"/>
      <c r="GL1828" s="55"/>
      <c r="GM1828" s="55"/>
      <c r="GN1828" s="54"/>
      <c r="GO1828" s="53"/>
      <c r="GP1828" s="53"/>
      <c r="GQ1828" s="53"/>
      <c r="GR1828" s="53"/>
      <c r="GS1828" s="53"/>
      <c r="GT1828" s="53"/>
      <c r="GU1828" s="53"/>
      <c r="GV1828" s="58"/>
      <c r="GW1828" s="833"/>
      <c r="GX1828" s="56"/>
      <c r="GY1828" s="55"/>
      <c r="GZ1828" s="55"/>
      <c r="HA1828" s="54"/>
      <c r="HB1828" s="53"/>
      <c r="HC1828" s="53"/>
      <c r="HD1828" s="53"/>
      <c r="HE1828" s="53"/>
      <c r="HF1828" s="53"/>
      <c r="HG1828" s="53"/>
      <c r="HH1828" s="53"/>
      <c r="HI1828" s="58"/>
      <c r="HJ1828" s="833"/>
      <c r="HK1828" s="56"/>
      <c r="HL1828" s="55"/>
      <c r="HM1828" s="55"/>
      <c r="HN1828" s="54"/>
      <c r="HO1828" s="53"/>
      <c r="HP1828" s="53"/>
      <c r="HQ1828" s="53"/>
      <c r="HR1828" s="53"/>
      <c r="HS1828" s="53"/>
      <c r="HT1828" s="53"/>
      <c r="HU1828" s="53"/>
      <c r="HV1828" s="58"/>
      <c r="HW1828" s="833"/>
      <c r="HX1828" s="56"/>
      <c r="HY1828" s="55"/>
      <c r="HZ1828" s="55"/>
      <c r="IA1828" s="54"/>
      <c r="IB1828" s="53"/>
      <c r="IC1828" s="53"/>
      <c r="ID1828" s="53"/>
      <c r="IE1828" s="53"/>
    </row>
    <row r="1829" spans="1:240" s="52" customFormat="1" ht="70.5" customHeight="1" thickBot="1">
      <c r="A1829" s="831"/>
      <c r="B1829" s="692"/>
      <c r="C1829" s="60"/>
      <c r="D1829" s="425"/>
      <c r="E1829" s="1263" t="s">
        <v>385</v>
      </c>
      <c r="F1829" s="1263"/>
      <c r="G1829" s="1263"/>
      <c r="H1829" s="1263"/>
      <c r="I1829" s="1263"/>
      <c r="J1829" s="1263"/>
      <c r="K1829" s="1263"/>
      <c r="L1829" s="1263"/>
      <c r="M1829" s="1263"/>
      <c r="N1829" s="1263"/>
      <c r="O1829" s="1264"/>
      <c r="P1829" s="679"/>
      <c r="Q1829" s="832"/>
      <c r="R1829" s="679"/>
      <c r="DY1829" s="55"/>
      <c r="DZ1829" s="55"/>
      <c r="EA1829" s="54"/>
      <c r="EB1829" s="53"/>
      <c r="EC1829" s="53"/>
      <c r="ED1829" s="53"/>
      <c r="EE1829" s="53"/>
      <c r="EF1829" s="53"/>
      <c r="EG1829" s="53"/>
      <c r="EH1829" s="53"/>
      <c r="EI1829" s="58"/>
      <c r="EJ1829" s="833"/>
      <c r="EK1829" s="56"/>
      <c r="EL1829" s="55"/>
      <c r="EM1829" s="55"/>
      <c r="EN1829" s="54"/>
      <c r="EO1829" s="53"/>
      <c r="EP1829" s="53"/>
      <c r="EQ1829" s="53"/>
      <c r="ER1829" s="53"/>
      <c r="ES1829" s="53"/>
      <c r="ET1829" s="53"/>
      <c r="EU1829" s="53"/>
      <c r="EV1829" s="58"/>
      <c r="EW1829" s="833"/>
      <c r="EX1829" s="56"/>
      <c r="EY1829" s="55"/>
      <c r="EZ1829" s="55"/>
      <c r="FA1829" s="54"/>
      <c r="FB1829" s="53"/>
      <c r="FC1829" s="53"/>
      <c r="FD1829" s="53"/>
      <c r="FE1829" s="53"/>
      <c r="FF1829" s="53"/>
      <c r="FG1829" s="53"/>
      <c r="FH1829" s="53"/>
      <c r="FI1829" s="58"/>
      <c r="FJ1829" s="833"/>
      <c r="FK1829" s="56"/>
      <c r="FL1829" s="55"/>
      <c r="FM1829" s="55"/>
      <c r="FN1829" s="54"/>
      <c r="FO1829" s="53"/>
      <c r="FP1829" s="53"/>
      <c r="FQ1829" s="53"/>
      <c r="FR1829" s="53"/>
      <c r="FS1829" s="53"/>
      <c r="FT1829" s="53"/>
      <c r="FU1829" s="53"/>
      <c r="FV1829" s="58"/>
      <c r="FW1829" s="833"/>
      <c r="FX1829" s="56"/>
      <c r="FY1829" s="55"/>
      <c r="FZ1829" s="55"/>
      <c r="GA1829" s="54"/>
      <c r="GB1829" s="53"/>
      <c r="GC1829" s="53"/>
      <c r="GD1829" s="53"/>
      <c r="GE1829" s="53"/>
      <c r="GF1829" s="53"/>
      <c r="GG1829" s="53"/>
      <c r="GH1829" s="53"/>
      <c r="GI1829" s="58"/>
      <c r="GJ1829" s="833"/>
      <c r="GK1829" s="56"/>
      <c r="GL1829" s="55"/>
      <c r="GM1829" s="55"/>
      <c r="GN1829" s="54"/>
      <c r="GO1829" s="53"/>
      <c r="GP1829" s="53"/>
      <c r="GQ1829" s="53"/>
      <c r="GR1829" s="53"/>
      <c r="GS1829" s="53"/>
      <c r="GT1829" s="53"/>
      <c r="GU1829" s="53"/>
      <c r="GV1829" s="58"/>
      <c r="GW1829" s="833"/>
      <c r="GX1829" s="56"/>
      <c r="GY1829" s="55"/>
      <c r="GZ1829" s="55"/>
      <c r="HA1829" s="54"/>
      <c r="HB1829" s="53"/>
      <c r="HC1829" s="53"/>
      <c r="HD1829" s="53"/>
      <c r="HE1829" s="53"/>
      <c r="HF1829" s="53"/>
      <c r="HG1829" s="53"/>
      <c r="HH1829" s="53"/>
      <c r="HI1829" s="58"/>
      <c r="HJ1829" s="833"/>
      <c r="HK1829" s="56"/>
      <c r="HL1829" s="55"/>
      <c r="HM1829" s="55"/>
      <c r="HN1829" s="54"/>
      <c r="HO1829" s="53"/>
      <c r="HP1829" s="53"/>
      <c r="HQ1829" s="53"/>
      <c r="HR1829" s="53"/>
      <c r="HS1829" s="53"/>
      <c r="HT1829" s="53"/>
      <c r="HU1829" s="53"/>
      <c r="HV1829" s="58"/>
      <c r="HW1829" s="833"/>
      <c r="HX1829" s="56"/>
      <c r="HY1829" s="55"/>
      <c r="HZ1829" s="55"/>
      <c r="IA1829" s="54"/>
      <c r="IB1829" s="53"/>
      <c r="IC1829" s="53"/>
      <c r="ID1829" s="53"/>
      <c r="IE1829" s="53"/>
    </row>
    <row r="1830" spans="1:240" s="47" customFormat="1" ht="65.25" customHeight="1" thickTop="1" thickBot="1">
      <c r="A1830" s="429"/>
      <c r="B1830" s="550"/>
      <c r="C1830" s="551"/>
      <c r="D1830" s="552"/>
      <c r="E1830" s="553" t="s">
        <v>3</v>
      </c>
      <c r="F1830" s="554" t="e">
        <f>F3+F10+F74+F106+F128+F131+F252+F255+F262+F297+F300+F304+F1422+F1460+F1546+F1647+F1731+F1784+F1822</f>
        <v>#REF!</v>
      </c>
      <c r="G1830" s="554" t="e">
        <f>G3+G10+G74+G106+G128+G131+G252+G255+G262+G297+G300+G304+G1422+G1460+G1546+G1647+G1731+G1784+G1822</f>
        <v>#REF!</v>
      </c>
      <c r="H1830" s="554" t="e">
        <f>H3+H10+H74+H106+H128+H131+H252+H255+H262+H297+H300+H304+H1422+H1460+H1546+H1647+H1731+H1784+H1822</f>
        <v>#REF!</v>
      </c>
      <c r="I1830" s="554" t="e">
        <f>I3+I10+I74+I106+I128+I131+I252+I255+I262+I297+I300+I304+I1422+I1460+I1546+I1647+I1731+I1784+I1822</f>
        <v>#REF!</v>
      </c>
      <c r="J1830" s="554" t="e">
        <f>J3+J10+J74+J106+J128+J131+J252+J255+J262+J297+J300+J304+J1422+J1460+J1546+J1647+J1731+J1784+J1822</f>
        <v>#REF!</v>
      </c>
      <c r="K1830" s="554" t="e">
        <f>K3+K10+K74+K106+K128+K131+K252+K255+K262+K297+K300+K304+K1422+K1460+K1546+K1647+K1731+K1784+K1822</f>
        <v>#REF!</v>
      </c>
      <c r="L1830" s="554">
        <f>L3+L10+L74+L106+L128+L131+L252+L255+L262+L297+L300+L304+L1422+L1460+L1546+L1647+L1731+L1784+L1822</f>
        <v>84230000</v>
      </c>
      <c r="M1830" s="554">
        <f>M3+M10+M74+M106+M128+M131+M252+M255+M262+M297+M300+M304+M1422+M1460+M1546+M1647+M1731+M1784+M1822</f>
        <v>85688450.579999983</v>
      </c>
      <c r="N1830" s="554">
        <f>N3+N10+N74+N106+N128+N131+N252+N255+N262+N297+N300+N304+N1422+N1460+N1546+N1647+N1731+N1784+N1822</f>
        <v>38787679.539999999</v>
      </c>
      <c r="O1830" s="895">
        <f t="shared" ref="O1830:O1837" si="210">N1830/M1830</f>
        <v>0.4526593639802981</v>
      </c>
      <c r="P1830" s="780"/>
      <c r="Q1830" s="664"/>
    </row>
    <row r="1831" spans="1:240" s="47" customFormat="1" ht="65.25" customHeight="1" thickTop="1">
      <c r="A1831" s="400"/>
      <c r="B1831" s="51"/>
      <c r="C1831" s="50"/>
      <c r="D1831" s="49"/>
      <c r="E1831" s="48" t="s">
        <v>2</v>
      </c>
      <c r="F1831" s="531">
        <f>F1832+F1833+F1834+F1835</f>
        <v>0</v>
      </c>
      <c r="G1831" s="531">
        <f>G1832+G1833+G1834+G1835</f>
        <v>0</v>
      </c>
      <c r="H1831" s="531">
        <f>H1832+H1833+H1834+H1835</f>
        <v>0</v>
      </c>
      <c r="I1831" s="531">
        <f>I1832+I1833+I1834+I1835</f>
        <v>0</v>
      </c>
      <c r="J1831" s="531">
        <f>J1832+J1833+J1834+J1835</f>
        <v>0</v>
      </c>
      <c r="K1831" s="531">
        <f>K1832+K1833+K1834+K1835+K1836</f>
        <v>3300000</v>
      </c>
      <c r="L1831" s="613">
        <f t="shared" si="209"/>
        <v>3300000</v>
      </c>
      <c r="M1831" s="613">
        <f>M1832+M1833+M1834+M1835+M1836</f>
        <v>3300000</v>
      </c>
      <c r="N1831" s="613">
        <f>N1832+N1833+N1834+N1835+N1836</f>
        <v>1800000</v>
      </c>
      <c r="O1831" s="896">
        <f t="shared" si="210"/>
        <v>0.54545454545454541</v>
      </c>
      <c r="P1831" s="780"/>
      <c r="Q1831" s="664"/>
    </row>
    <row r="1832" spans="1:240" s="31" customFormat="1" ht="71.25" customHeight="1">
      <c r="A1832" s="400"/>
      <c r="B1832" s="627"/>
      <c r="C1832" s="46">
        <v>1</v>
      </c>
      <c r="D1832" s="45"/>
      <c r="E1832" s="44" t="s">
        <v>234</v>
      </c>
      <c r="F1832" s="532"/>
      <c r="G1832" s="43"/>
      <c r="H1832" s="43"/>
      <c r="I1832" s="43"/>
      <c r="J1832" s="42"/>
      <c r="K1832" s="41">
        <v>1200000</v>
      </c>
      <c r="L1832" s="41">
        <f t="shared" si="209"/>
        <v>1200000</v>
      </c>
      <c r="M1832" s="41">
        <v>1200000</v>
      </c>
      <c r="N1832" s="41">
        <v>600000</v>
      </c>
      <c r="O1832" s="897">
        <f t="shared" si="210"/>
        <v>0.5</v>
      </c>
      <c r="P1832" s="794"/>
      <c r="Q1832" s="676"/>
    </row>
    <row r="1833" spans="1:240" s="37" customFormat="1" ht="71.25" customHeight="1">
      <c r="A1833" s="400"/>
      <c r="B1833" s="40"/>
      <c r="C1833" s="1197">
        <v>2</v>
      </c>
      <c r="D1833" s="1198"/>
      <c r="E1833" s="1199" t="s">
        <v>235</v>
      </c>
      <c r="F1833" s="1200"/>
      <c r="G1833" s="1201"/>
      <c r="H1833" s="1201"/>
      <c r="I1833" s="1201"/>
      <c r="J1833" s="1202"/>
      <c r="K1833" s="1203">
        <v>825000</v>
      </c>
      <c r="L1833" s="1203">
        <f>SUM(F1833:K1833)</f>
        <v>825000</v>
      </c>
      <c r="M1833" s="1203">
        <v>825000</v>
      </c>
      <c r="N1833" s="1203">
        <v>825000</v>
      </c>
      <c r="O1833" s="1204">
        <f t="shared" si="210"/>
        <v>1</v>
      </c>
      <c r="P1833" s="786"/>
      <c r="Q1833" s="669"/>
    </row>
    <row r="1834" spans="1:240" s="37" customFormat="1" ht="71.25" customHeight="1">
      <c r="A1834" s="400"/>
      <c r="B1834" s="627"/>
      <c r="C1834" s="1197">
        <v>3</v>
      </c>
      <c r="D1834" s="1198"/>
      <c r="E1834" s="1199" t="s">
        <v>247</v>
      </c>
      <c r="F1834" s="1200"/>
      <c r="G1834" s="1200"/>
      <c r="H1834" s="1200"/>
      <c r="I1834" s="1200"/>
      <c r="J1834" s="1205"/>
      <c r="K1834" s="1206">
        <f>275000+400000+300000</f>
        <v>975000</v>
      </c>
      <c r="L1834" s="1203">
        <f>SUM(F1834:K1834)</f>
        <v>975000</v>
      </c>
      <c r="M1834" s="1203">
        <v>975000</v>
      </c>
      <c r="N1834" s="1203">
        <v>275000</v>
      </c>
      <c r="O1834" s="1204">
        <f t="shared" si="210"/>
        <v>0.28205128205128205</v>
      </c>
      <c r="P1834" s="786"/>
      <c r="Q1834" s="669"/>
    </row>
    <row r="1835" spans="1:240" s="37" customFormat="1" ht="71.25" customHeight="1">
      <c r="A1835" s="400"/>
      <c r="B1835" s="627"/>
      <c r="C1835" s="1197">
        <v>4</v>
      </c>
      <c r="D1835" s="1198"/>
      <c r="E1835" s="1199" t="s">
        <v>331</v>
      </c>
      <c r="F1835" s="1200"/>
      <c r="G1835" s="1200"/>
      <c r="H1835" s="1200"/>
      <c r="I1835" s="1200"/>
      <c r="J1835" s="1205"/>
      <c r="K1835" s="1206">
        <v>200000</v>
      </c>
      <c r="L1835" s="1203">
        <f>SUM(F1835:K1835)</f>
        <v>200000</v>
      </c>
      <c r="M1835" s="1203">
        <v>200000</v>
      </c>
      <c r="N1835" s="1203">
        <v>0</v>
      </c>
      <c r="O1835" s="1204">
        <f t="shared" si="210"/>
        <v>0</v>
      </c>
      <c r="P1835" s="786"/>
      <c r="Q1835" s="669"/>
    </row>
    <row r="1836" spans="1:240" s="37" customFormat="1" ht="71.25" customHeight="1" thickBot="1">
      <c r="A1836" s="400"/>
      <c r="B1836" s="627"/>
      <c r="C1836" s="1191">
        <v>5</v>
      </c>
      <c r="D1836" s="39"/>
      <c r="E1836" s="38" t="s">
        <v>330</v>
      </c>
      <c r="F1836" s="1192"/>
      <c r="G1836" s="1192"/>
      <c r="H1836" s="1192"/>
      <c r="I1836" s="1192"/>
      <c r="J1836" s="1193"/>
      <c r="K1836" s="1194">
        <f>100000</f>
        <v>100000</v>
      </c>
      <c r="L1836" s="1195">
        <f>SUM(F1836:K1836)</f>
        <v>100000</v>
      </c>
      <c r="M1836" s="1195">
        <v>100000</v>
      </c>
      <c r="N1836" s="1195">
        <v>100000</v>
      </c>
      <c r="O1836" s="1196">
        <f t="shared" si="210"/>
        <v>1</v>
      </c>
      <c r="P1836" s="786"/>
      <c r="Q1836" s="669"/>
    </row>
    <row r="1837" spans="1:240" s="31" customFormat="1" ht="50.1" customHeight="1">
      <c r="A1837" s="36"/>
      <c r="B1837" s="35"/>
      <c r="C1837" s="34"/>
      <c r="D1837" s="33"/>
      <c r="E1837" s="32" t="s">
        <v>1</v>
      </c>
      <c r="F1837" s="533" t="e">
        <f t="shared" ref="F1837:L1837" si="211">F1830+F1831</f>
        <v>#REF!</v>
      </c>
      <c r="G1837" s="533" t="e">
        <f t="shared" si="211"/>
        <v>#REF!</v>
      </c>
      <c r="H1837" s="533" t="e">
        <f t="shared" si="211"/>
        <v>#REF!</v>
      </c>
      <c r="I1837" s="533" t="e">
        <f t="shared" si="211"/>
        <v>#REF!</v>
      </c>
      <c r="J1837" s="533" t="e">
        <f t="shared" si="211"/>
        <v>#REF!</v>
      </c>
      <c r="K1837" s="533" t="e">
        <f t="shared" si="211"/>
        <v>#REF!</v>
      </c>
      <c r="L1837" s="533">
        <f t="shared" si="211"/>
        <v>87530000</v>
      </c>
      <c r="M1837" s="533">
        <f t="shared" ref="M1837:N1837" si="212">M1830+M1831</f>
        <v>88988450.579999983</v>
      </c>
      <c r="N1837" s="533">
        <f t="shared" si="212"/>
        <v>40587679.539999999</v>
      </c>
      <c r="O1837" s="898">
        <f t="shared" si="210"/>
        <v>0.45610053074822293</v>
      </c>
      <c r="P1837" s="794"/>
      <c r="Q1837" s="676"/>
    </row>
    <row r="1838" spans="1:240" s="25" customFormat="1" ht="23.25" customHeight="1">
      <c r="A1838" s="644"/>
      <c r="B1838" s="30"/>
      <c r="C1838" s="28"/>
      <c r="D1838" s="27"/>
      <c r="E1838" s="29"/>
      <c r="F1838" s="26"/>
      <c r="G1838" s="26"/>
      <c r="H1838" s="26"/>
      <c r="I1838" s="26"/>
      <c r="J1838" s="26"/>
      <c r="K1838" s="26"/>
      <c r="L1838" s="26"/>
      <c r="M1838" s="26"/>
      <c r="N1838" s="26"/>
      <c r="O1838" s="899"/>
      <c r="P1838" s="802"/>
      <c r="Q1838" s="680"/>
    </row>
    <row r="1839" spans="1:240" s="21" customFormat="1" ht="37.799999999999997">
      <c r="A1839" s="645"/>
      <c r="B1839" s="24"/>
      <c r="C1839" s="23"/>
      <c r="D1839" s="20"/>
      <c r="E1839" s="19"/>
      <c r="F1839" s="13"/>
      <c r="G1839" s="13"/>
      <c r="H1839" s="13"/>
      <c r="I1839" s="13"/>
      <c r="J1839" s="13"/>
      <c r="K1839" s="13"/>
      <c r="L1839" s="22"/>
      <c r="M1839" s="22"/>
      <c r="N1839" s="22"/>
      <c r="O1839" s="900"/>
      <c r="P1839" s="803"/>
      <c r="Q1839" s="681"/>
    </row>
    <row r="1840" spans="1:240" s="21" customFormat="1" ht="37.799999999999997">
      <c r="A1840" s="645"/>
      <c r="B1840" s="24"/>
      <c r="C1840" s="23"/>
      <c r="D1840" s="20"/>
      <c r="E1840" s="19"/>
      <c r="F1840" s="13"/>
      <c r="G1840" s="13"/>
      <c r="H1840" s="13"/>
      <c r="I1840" s="13"/>
      <c r="J1840" s="13"/>
      <c r="K1840" s="13"/>
      <c r="L1840" s="22"/>
      <c r="M1840" s="22"/>
      <c r="N1840" s="22"/>
      <c r="O1840" s="900"/>
      <c r="P1840" s="803"/>
      <c r="Q1840" s="681"/>
    </row>
    <row r="1841" spans="1:17" s="18" customFormat="1" ht="37.799999999999997">
      <c r="A1841" s="645"/>
      <c r="B1841" s="24"/>
      <c r="C1841" s="23"/>
      <c r="D1841" s="20"/>
      <c r="E1841" s="19"/>
      <c r="F1841" s="13"/>
      <c r="G1841" s="13"/>
      <c r="H1841" s="13"/>
      <c r="I1841" s="13"/>
      <c r="J1841" s="13"/>
      <c r="K1841" s="13"/>
      <c r="L1841" s="22"/>
      <c r="M1841" s="22"/>
      <c r="N1841" s="22"/>
      <c r="O1841" s="900"/>
      <c r="P1841" s="804"/>
      <c r="Q1841" s="682"/>
    </row>
    <row r="1842" spans="1:17" s="10" customFormat="1" ht="37.799999999999997">
      <c r="A1842" s="646"/>
      <c r="B1842" s="24"/>
      <c r="C1842" s="23"/>
      <c r="D1842" s="14"/>
      <c r="E1842" s="17"/>
      <c r="F1842" s="13"/>
      <c r="G1842" s="13"/>
      <c r="H1842" s="13"/>
      <c r="I1842" s="13"/>
      <c r="J1842" s="13"/>
      <c r="K1842" s="13"/>
      <c r="L1842" s="22"/>
      <c r="M1842" s="22"/>
      <c r="N1842" s="22"/>
      <c r="O1842" s="900"/>
      <c r="P1842" s="764"/>
      <c r="Q1842" s="650"/>
    </row>
    <row r="1843" spans="1:17" s="10" customFormat="1" ht="37.799999999999997">
      <c r="A1843" s="646"/>
      <c r="B1843" s="24"/>
      <c r="C1843" s="23"/>
      <c r="D1843" s="14"/>
      <c r="E1843" s="17"/>
      <c r="F1843" s="13"/>
      <c r="G1843" s="13"/>
      <c r="H1843" s="13"/>
      <c r="I1843" s="13"/>
      <c r="J1843" s="13"/>
      <c r="K1843" s="13"/>
      <c r="L1843" s="22"/>
      <c r="M1843" s="22"/>
      <c r="N1843" s="22"/>
      <c r="O1843" s="900"/>
      <c r="P1843" s="764"/>
      <c r="Q1843" s="650"/>
    </row>
    <row r="1844" spans="1:17" s="10" customFormat="1" ht="37.799999999999997">
      <c r="A1844" s="646"/>
      <c r="B1844" s="24"/>
      <c r="C1844" s="23"/>
      <c r="D1844" s="14"/>
      <c r="E1844" s="17"/>
      <c r="F1844" s="13"/>
      <c r="G1844" s="13"/>
      <c r="H1844" s="13"/>
      <c r="I1844" s="13"/>
      <c r="J1844" s="13"/>
      <c r="K1844" s="13"/>
      <c r="L1844" s="22"/>
      <c r="M1844" s="22"/>
      <c r="N1844" s="22"/>
      <c r="O1844" s="900"/>
      <c r="P1844" s="764"/>
      <c r="Q1844" s="650"/>
    </row>
    <row r="1845" spans="1:17" s="10" customFormat="1" ht="37.799999999999997">
      <c r="A1845" s="646"/>
      <c r="B1845" s="24"/>
      <c r="C1845" s="23"/>
      <c r="D1845" s="14"/>
      <c r="E1845" s="17"/>
      <c r="F1845" s="13"/>
      <c r="G1845" s="13"/>
      <c r="H1845" s="13"/>
      <c r="I1845" s="13"/>
      <c r="J1845" s="13"/>
      <c r="K1845" s="13"/>
      <c r="L1845" s="22"/>
      <c r="M1845" s="22"/>
      <c r="N1845" s="22"/>
      <c r="O1845" s="900"/>
      <c r="P1845" s="764"/>
      <c r="Q1845" s="650"/>
    </row>
    <row r="1846" spans="1:17" s="10" customFormat="1" ht="37.799999999999997">
      <c r="A1846" s="646"/>
      <c r="B1846" s="24"/>
      <c r="C1846" s="23"/>
      <c r="D1846" s="14"/>
      <c r="E1846" s="17"/>
      <c r="F1846" s="13"/>
      <c r="G1846" s="13"/>
      <c r="H1846" s="13"/>
      <c r="I1846" s="13"/>
      <c r="J1846" s="13"/>
      <c r="K1846" s="13"/>
      <c r="L1846" s="22"/>
      <c r="M1846" s="22"/>
      <c r="N1846" s="22"/>
      <c r="O1846" s="900"/>
      <c r="P1846" s="764"/>
      <c r="Q1846" s="650"/>
    </row>
    <row r="1847" spans="1:17" s="10" customFormat="1" ht="37.799999999999997">
      <c r="A1847" s="646"/>
      <c r="B1847" s="24"/>
      <c r="C1847" s="23"/>
      <c r="D1847" s="14"/>
      <c r="E1847" s="17"/>
      <c r="F1847" s="13"/>
      <c r="G1847" s="13"/>
      <c r="H1847" s="13"/>
      <c r="I1847" s="13"/>
      <c r="J1847" s="13"/>
      <c r="K1847" s="13"/>
      <c r="L1847" s="22"/>
      <c r="M1847" s="22"/>
      <c r="N1847" s="22"/>
      <c r="O1847" s="900"/>
      <c r="P1847" s="764"/>
      <c r="Q1847" s="650"/>
    </row>
    <row r="1848" spans="1:17" s="10" customFormat="1" ht="37.799999999999997">
      <c r="A1848" s="646"/>
      <c r="B1848" s="24"/>
      <c r="C1848" s="23"/>
      <c r="D1848" s="14"/>
      <c r="E1848" s="17"/>
      <c r="F1848" s="13"/>
      <c r="G1848" s="13"/>
      <c r="H1848" s="13"/>
      <c r="I1848" s="13"/>
      <c r="J1848" s="13"/>
      <c r="K1848" s="13"/>
      <c r="L1848" s="22"/>
      <c r="M1848" s="22"/>
      <c r="N1848" s="22"/>
      <c r="O1848" s="900"/>
      <c r="P1848" s="764"/>
      <c r="Q1848" s="650"/>
    </row>
    <row r="1849" spans="1:17" s="10" customFormat="1" ht="37.799999999999997">
      <c r="A1849" s="646"/>
      <c r="B1849" s="24"/>
      <c r="C1849" s="23"/>
      <c r="D1849" s="14"/>
      <c r="E1849" s="17"/>
      <c r="F1849" s="13"/>
      <c r="G1849" s="13"/>
      <c r="H1849" s="13"/>
      <c r="I1849" s="13"/>
      <c r="J1849" s="13"/>
      <c r="K1849" s="13"/>
      <c r="L1849" s="22"/>
      <c r="M1849" s="22"/>
      <c r="N1849" s="22"/>
      <c r="O1849" s="900"/>
      <c r="P1849" s="764"/>
      <c r="Q1849" s="650"/>
    </row>
    <row r="1850" spans="1:17" s="10" customFormat="1" ht="37.799999999999997">
      <c r="A1850" s="646"/>
      <c r="B1850" s="24"/>
      <c r="C1850" s="23"/>
      <c r="D1850" s="14"/>
      <c r="E1850" s="17"/>
      <c r="F1850" s="13"/>
      <c r="G1850" s="13"/>
      <c r="H1850" s="13"/>
      <c r="I1850" s="13"/>
      <c r="J1850" s="13"/>
      <c r="K1850" s="13"/>
      <c r="L1850" s="22"/>
      <c r="M1850" s="22"/>
      <c r="N1850" s="22"/>
      <c r="O1850" s="900"/>
      <c r="P1850" s="764"/>
      <c r="Q1850" s="650"/>
    </row>
    <row r="1851" spans="1:17" s="10" customFormat="1" ht="37.799999999999997">
      <c r="A1851" s="646"/>
      <c r="B1851" s="24"/>
      <c r="C1851" s="23"/>
      <c r="D1851" s="14"/>
      <c r="E1851" s="17"/>
      <c r="F1851" s="13"/>
      <c r="G1851" s="13"/>
      <c r="H1851" s="13"/>
      <c r="I1851" s="13"/>
      <c r="J1851" s="13"/>
      <c r="K1851" s="13"/>
      <c r="L1851" s="22"/>
      <c r="M1851" s="22"/>
      <c r="N1851" s="22"/>
      <c r="O1851" s="900"/>
      <c r="P1851" s="764"/>
      <c r="Q1851" s="650"/>
    </row>
    <row r="1852" spans="1:17" s="10" customFormat="1" ht="37.799999999999997">
      <c r="A1852" s="646"/>
      <c r="B1852" s="24"/>
      <c r="C1852" s="23"/>
      <c r="D1852" s="14"/>
      <c r="E1852" s="17"/>
      <c r="F1852" s="13"/>
      <c r="G1852" s="13"/>
      <c r="H1852" s="13"/>
      <c r="I1852" s="13"/>
      <c r="J1852" s="13"/>
      <c r="K1852" s="13"/>
      <c r="L1852" s="22"/>
      <c r="M1852" s="22"/>
      <c r="N1852" s="22"/>
      <c r="O1852" s="900"/>
      <c r="P1852" s="764"/>
      <c r="Q1852" s="650"/>
    </row>
    <row r="1853" spans="1:17" s="10" customFormat="1" ht="37.799999999999997">
      <c r="A1853" s="646"/>
      <c r="B1853" s="24"/>
      <c r="C1853" s="23"/>
      <c r="D1853" s="14"/>
      <c r="E1853" s="17"/>
      <c r="F1853" s="13"/>
      <c r="G1853" s="13"/>
      <c r="H1853" s="13"/>
      <c r="I1853" s="13"/>
      <c r="J1853" s="13"/>
      <c r="K1853" s="13"/>
      <c r="L1853" s="22"/>
      <c r="M1853" s="22"/>
      <c r="N1853" s="22"/>
      <c r="O1853" s="900"/>
      <c r="P1853" s="764"/>
      <c r="Q1853" s="650"/>
    </row>
    <row r="1854" spans="1:17" s="10" customFormat="1" ht="37.799999999999997">
      <c r="A1854" s="646"/>
      <c r="B1854" s="24"/>
      <c r="C1854" s="23"/>
      <c r="D1854" s="14"/>
      <c r="E1854" s="17"/>
      <c r="F1854" s="13"/>
      <c r="G1854" s="13"/>
      <c r="H1854" s="13"/>
      <c r="I1854" s="13"/>
      <c r="J1854" s="13"/>
      <c r="K1854" s="13"/>
      <c r="L1854" s="22"/>
      <c r="M1854" s="22"/>
      <c r="N1854" s="22"/>
      <c r="O1854" s="900"/>
      <c r="P1854" s="764"/>
      <c r="Q1854" s="650"/>
    </row>
    <row r="1855" spans="1:17" s="10" customFormat="1" ht="37.799999999999997">
      <c r="A1855" s="646"/>
      <c r="B1855" s="24"/>
      <c r="C1855" s="23"/>
      <c r="D1855" s="14"/>
      <c r="E1855" s="17"/>
      <c r="F1855" s="13"/>
      <c r="G1855" s="13"/>
      <c r="H1855" s="13"/>
      <c r="I1855" s="13"/>
      <c r="J1855" s="13"/>
      <c r="K1855" s="13"/>
      <c r="L1855" s="22"/>
      <c r="M1855" s="22"/>
      <c r="N1855" s="22"/>
      <c r="O1855" s="900"/>
      <c r="P1855" s="764"/>
      <c r="Q1855" s="650"/>
    </row>
    <row r="1856" spans="1:17" s="10" customFormat="1" ht="37.799999999999997">
      <c r="A1856" s="646"/>
      <c r="B1856" s="24"/>
      <c r="C1856" s="23"/>
      <c r="D1856" s="14"/>
      <c r="E1856" s="17"/>
      <c r="F1856" s="13"/>
      <c r="G1856" s="13"/>
      <c r="H1856" s="13"/>
      <c r="I1856" s="13"/>
      <c r="J1856" s="13"/>
      <c r="K1856" s="13"/>
      <c r="L1856" s="22"/>
      <c r="M1856" s="22"/>
      <c r="N1856" s="22"/>
      <c r="O1856" s="900"/>
      <c r="P1856" s="764"/>
      <c r="Q1856" s="650"/>
    </row>
    <row r="1857" spans="1:17" s="10" customFormat="1" ht="37.799999999999997">
      <c r="A1857" s="646"/>
      <c r="B1857" s="24"/>
      <c r="C1857" s="23"/>
      <c r="D1857" s="14"/>
      <c r="E1857" s="17"/>
      <c r="F1857" s="13"/>
      <c r="G1857" s="13"/>
      <c r="H1857" s="13"/>
      <c r="I1857" s="13"/>
      <c r="J1857" s="13"/>
      <c r="K1857" s="13"/>
      <c r="L1857" s="22"/>
      <c r="M1857" s="22"/>
      <c r="N1857" s="22"/>
      <c r="O1857" s="900"/>
      <c r="P1857" s="764"/>
      <c r="Q1857" s="650"/>
    </row>
    <row r="1858" spans="1:17" s="10" customFormat="1" ht="37.799999999999997">
      <c r="A1858" s="646"/>
      <c r="B1858" s="24"/>
      <c r="C1858" s="23"/>
      <c r="D1858" s="14"/>
      <c r="E1858" s="17"/>
      <c r="F1858" s="13"/>
      <c r="G1858" s="13"/>
      <c r="H1858" s="13"/>
      <c r="I1858" s="13"/>
      <c r="J1858" s="13"/>
      <c r="K1858" s="13"/>
      <c r="L1858" s="22"/>
      <c r="M1858" s="22"/>
      <c r="N1858" s="22"/>
      <c r="O1858" s="900"/>
      <c r="P1858" s="764"/>
      <c r="Q1858" s="650"/>
    </row>
    <row r="1859" spans="1:17" s="10" customFormat="1" ht="37.799999999999997">
      <c r="A1859" s="646"/>
      <c r="B1859" s="24"/>
      <c r="C1859" s="23"/>
      <c r="D1859" s="14"/>
      <c r="E1859" s="17"/>
      <c r="F1859" s="13"/>
      <c r="G1859" s="13"/>
      <c r="H1859" s="13"/>
      <c r="I1859" s="13"/>
      <c r="J1859" s="13"/>
      <c r="K1859" s="13"/>
      <c r="L1859" s="22"/>
      <c r="M1859" s="22"/>
      <c r="N1859" s="22"/>
      <c r="O1859" s="900"/>
      <c r="P1859" s="764"/>
      <c r="Q1859" s="650"/>
    </row>
    <row r="1860" spans="1:17" s="10" customFormat="1" ht="37.799999999999997">
      <c r="A1860" s="646"/>
      <c r="B1860" s="24"/>
      <c r="C1860" s="23"/>
      <c r="D1860" s="14"/>
      <c r="E1860" s="17"/>
      <c r="F1860" s="13"/>
      <c r="G1860" s="13"/>
      <c r="H1860" s="13"/>
      <c r="I1860" s="13"/>
      <c r="J1860" s="13"/>
      <c r="K1860" s="13"/>
      <c r="L1860" s="22"/>
      <c r="M1860" s="22"/>
      <c r="N1860" s="22"/>
      <c r="O1860" s="900"/>
      <c r="P1860" s="764"/>
      <c r="Q1860" s="650"/>
    </row>
    <row r="1861" spans="1:17" s="10" customFormat="1" ht="37.799999999999997">
      <c r="A1861" s="646"/>
      <c r="B1861" s="24"/>
      <c r="C1861" s="23"/>
      <c r="D1861" s="14"/>
      <c r="E1861" s="17"/>
      <c r="F1861" s="13"/>
      <c r="G1861" s="13"/>
      <c r="H1861" s="13"/>
      <c r="I1861" s="13"/>
      <c r="J1861" s="13"/>
      <c r="K1861" s="13"/>
      <c r="L1861" s="22"/>
      <c r="M1861" s="22"/>
      <c r="N1861" s="22"/>
      <c r="O1861" s="900"/>
      <c r="P1861" s="764"/>
      <c r="Q1861" s="650"/>
    </row>
    <row r="1862" spans="1:17" s="10" customFormat="1" ht="37.799999999999997">
      <c r="A1862" s="646"/>
      <c r="B1862" s="24"/>
      <c r="C1862" s="23"/>
      <c r="D1862" s="14"/>
      <c r="E1862" s="17"/>
      <c r="F1862" s="13"/>
      <c r="G1862" s="13"/>
      <c r="H1862" s="13"/>
      <c r="I1862" s="13"/>
      <c r="J1862" s="13"/>
      <c r="K1862" s="13"/>
      <c r="L1862" s="22"/>
      <c r="M1862" s="22"/>
      <c r="N1862" s="22"/>
      <c r="O1862" s="900"/>
      <c r="P1862" s="764"/>
      <c r="Q1862" s="650"/>
    </row>
    <row r="1863" spans="1:17" s="10" customFormat="1" ht="37.799999999999997">
      <c r="A1863" s="646"/>
      <c r="B1863" s="24"/>
      <c r="C1863" s="23"/>
      <c r="D1863" s="14"/>
      <c r="E1863" s="17"/>
      <c r="F1863" s="13"/>
      <c r="G1863" s="13"/>
      <c r="H1863" s="13"/>
      <c r="I1863" s="13"/>
      <c r="J1863" s="13"/>
      <c r="K1863" s="13"/>
      <c r="L1863" s="22"/>
      <c r="M1863" s="22"/>
      <c r="N1863" s="22"/>
      <c r="O1863" s="900"/>
      <c r="P1863" s="764"/>
      <c r="Q1863" s="650"/>
    </row>
    <row r="1864" spans="1:17" s="10" customFormat="1" ht="37.799999999999997">
      <c r="A1864" s="646"/>
      <c r="B1864" s="24"/>
      <c r="C1864" s="23"/>
      <c r="D1864" s="14"/>
      <c r="E1864" s="17"/>
      <c r="F1864" s="13"/>
      <c r="G1864" s="13"/>
      <c r="H1864" s="13"/>
      <c r="I1864" s="13"/>
      <c r="J1864" s="13"/>
      <c r="K1864" s="13"/>
      <c r="L1864" s="22"/>
      <c r="M1864" s="22"/>
      <c r="N1864" s="22"/>
      <c r="O1864" s="900"/>
      <c r="P1864" s="764"/>
      <c r="Q1864" s="650"/>
    </row>
    <row r="1865" spans="1:17" s="10" customFormat="1" ht="37.799999999999997">
      <c r="A1865" s="646"/>
      <c r="B1865" s="24"/>
      <c r="C1865" s="23"/>
      <c r="D1865" s="14"/>
      <c r="E1865" s="17"/>
      <c r="F1865" s="13"/>
      <c r="G1865" s="13"/>
      <c r="H1865" s="13"/>
      <c r="I1865" s="13"/>
      <c r="J1865" s="13"/>
      <c r="K1865" s="13"/>
      <c r="L1865" s="22"/>
      <c r="M1865" s="22"/>
      <c r="N1865" s="22"/>
      <c r="O1865" s="900"/>
      <c r="P1865" s="764"/>
      <c r="Q1865" s="650"/>
    </row>
    <row r="1866" spans="1:17" s="10" customFormat="1" ht="37.799999999999997">
      <c r="A1866" s="646"/>
      <c r="B1866" s="24"/>
      <c r="C1866" s="23"/>
      <c r="D1866" s="14"/>
      <c r="E1866" s="17"/>
      <c r="F1866" s="13"/>
      <c r="G1866" s="13"/>
      <c r="H1866" s="13"/>
      <c r="I1866" s="13"/>
      <c r="J1866" s="13"/>
      <c r="K1866" s="13"/>
      <c r="L1866" s="22"/>
      <c r="M1866" s="22"/>
      <c r="N1866" s="22"/>
      <c r="O1866" s="900"/>
      <c r="P1866" s="764"/>
      <c r="Q1866" s="650"/>
    </row>
    <row r="1867" spans="1:17" s="10" customFormat="1" ht="37.799999999999997">
      <c r="A1867" s="646"/>
      <c r="B1867" s="24"/>
      <c r="C1867" s="23"/>
      <c r="D1867" s="14"/>
      <c r="E1867" s="17"/>
      <c r="F1867" s="13"/>
      <c r="G1867" s="13"/>
      <c r="H1867" s="13"/>
      <c r="I1867" s="13"/>
      <c r="J1867" s="13"/>
      <c r="K1867" s="13"/>
      <c r="L1867" s="22"/>
      <c r="M1867" s="22"/>
      <c r="N1867" s="22"/>
      <c r="O1867" s="900"/>
      <c r="P1867" s="764"/>
      <c r="Q1867" s="650"/>
    </row>
    <row r="1868" spans="1:17" s="10" customFormat="1" ht="37.799999999999997">
      <c r="A1868" s="646"/>
      <c r="B1868" s="24"/>
      <c r="C1868" s="23"/>
      <c r="D1868" s="14"/>
      <c r="E1868" s="17"/>
      <c r="F1868" s="13"/>
      <c r="G1868" s="13"/>
      <c r="H1868" s="13"/>
      <c r="I1868" s="13"/>
      <c r="J1868" s="13"/>
      <c r="K1868" s="13"/>
      <c r="L1868" s="22"/>
      <c r="M1868" s="22"/>
      <c r="N1868" s="22"/>
      <c r="O1868" s="900"/>
      <c r="P1868" s="764"/>
      <c r="Q1868" s="650"/>
    </row>
    <row r="1869" spans="1:17" s="10" customFormat="1" ht="37.799999999999997">
      <c r="A1869" s="646"/>
      <c r="B1869" s="24"/>
      <c r="C1869" s="23"/>
      <c r="D1869" s="14"/>
      <c r="E1869" s="17"/>
      <c r="F1869" s="13"/>
      <c r="G1869" s="13"/>
      <c r="H1869" s="13"/>
      <c r="I1869" s="13"/>
      <c r="J1869" s="13"/>
      <c r="K1869" s="13"/>
      <c r="L1869" s="22"/>
      <c r="M1869" s="22"/>
      <c r="N1869" s="22"/>
      <c r="O1869" s="900"/>
      <c r="P1869" s="764"/>
      <c r="Q1869" s="650"/>
    </row>
    <row r="1870" spans="1:17" s="10" customFormat="1" ht="37.799999999999997">
      <c r="A1870" s="646"/>
      <c r="B1870" s="24"/>
      <c r="C1870" s="23"/>
      <c r="D1870" s="14"/>
      <c r="E1870" s="17"/>
      <c r="F1870" s="13"/>
      <c r="G1870" s="13"/>
      <c r="H1870" s="13"/>
      <c r="I1870" s="13"/>
      <c r="J1870" s="13"/>
      <c r="K1870" s="13"/>
      <c r="L1870" s="22"/>
      <c r="M1870" s="22"/>
      <c r="N1870" s="22"/>
      <c r="O1870" s="900"/>
      <c r="P1870" s="764"/>
      <c r="Q1870" s="650"/>
    </row>
    <row r="1871" spans="1:17" s="10" customFormat="1" ht="37.799999999999997">
      <c r="A1871" s="646"/>
      <c r="B1871" s="24"/>
      <c r="C1871" s="23"/>
      <c r="D1871" s="14"/>
      <c r="E1871" s="17"/>
      <c r="F1871" s="13"/>
      <c r="G1871" s="13"/>
      <c r="H1871" s="13"/>
      <c r="I1871" s="13"/>
      <c r="J1871" s="13"/>
      <c r="K1871" s="13"/>
      <c r="L1871" s="22"/>
      <c r="M1871" s="22"/>
      <c r="N1871" s="22"/>
      <c r="O1871" s="900"/>
      <c r="P1871" s="764"/>
      <c r="Q1871" s="650"/>
    </row>
    <row r="1872" spans="1:17" s="10" customFormat="1" ht="37.799999999999997">
      <c r="A1872" s="646"/>
      <c r="B1872" s="24"/>
      <c r="C1872" s="23"/>
      <c r="D1872" s="14"/>
      <c r="E1872" s="17"/>
      <c r="F1872" s="13"/>
      <c r="G1872" s="13"/>
      <c r="H1872" s="13"/>
      <c r="I1872" s="13"/>
      <c r="J1872" s="13"/>
      <c r="K1872" s="13"/>
      <c r="L1872" s="22"/>
      <c r="M1872" s="22"/>
      <c r="N1872" s="22"/>
      <c r="O1872" s="900"/>
      <c r="P1872" s="764"/>
      <c r="Q1872" s="650"/>
    </row>
    <row r="1873" spans="1:17" s="10" customFormat="1" ht="37.799999999999997">
      <c r="A1873" s="646"/>
      <c r="B1873" s="24"/>
      <c r="C1873" s="23"/>
      <c r="D1873" s="14"/>
      <c r="E1873" s="17"/>
      <c r="F1873" s="13"/>
      <c r="G1873" s="13"/>
      <c r="H1873" s="13"/>
      <c r="I1873" s="13"/>
      <c r="J1873" s="13"/>
      <c r="K1873" s="13"/>
      <c r="L1873" s="22"/>
      <c r="M1873" s="22"/>
      <c r="N1873" s="22"/>
      <c r="O1873" s="900"/>
      <c r="P1873" s="764"/>
      <c r="Q1873" s="650"/>
    </row>
    <row r="1874" spans="1:17" s="10" customFormat="1" ht="37.799999999999997">
      <c r="A1874" s="646"/>
      <c r="B1874" s="24"/>
      <c r="C1874" s="23"/>
      <c r="D1874" s="14"/>
      <c r="E1874" s="17"/>
      <c r="F1874" s="13"/>
      <c r="G1874" s="13"/>
      <c r="H1874" s="13"/>
      <c r="I1874" s="13"/>
      <c r="J1874" s="13"/>
      <c r="K1874" s="13"/>
      <c r="L1874" s="22"/>
      <c r="M1874" s="22"/>
      <c r="N1874" s="22"/>
      <c r="O1874" s="900"/>
      <c r="P1874" s="764"/>
      <c r="Q1874" s="650"/>
    </row>
    <row r="1875" spans="1:17" s="10" customFormat="1" ht="37.799999999999997">
      <c r="A1875" s="646"/>
      <c r="B1875" s="24"/>
      <c r="C1875" s="23"/>
      <c r="D1875" s="14"/>
      <c r="E1875" s="17"/>
      <c r="F1875" s="13"/>
      <c r="G1875" s="13"/>
      <c r="H1875" s="13"/>
      <c r="I1875" s="13"/>
      <c r="J1875" s="13"/>
      <c r="K1875" s="13"/>
      <c r="L1875" s="22"/>
      <c r="M1875" s="22"/>
      <c r="N1875" s="22"/>
      <c r="O1875" s="900"/>
      <c r="P1875" s="764"/>
      <c r="Q1875" s="650"/>
    </row>
    <row r="1876" spans="1:17" s="10" customFormat="1" ht="37.799999999999997">
      <c r="A1876" s="646"/>
      <c r="B1876" s="24"/>
      <c r="C1876" s="23"/>
      <c r="D1876" s="14"/>
      <c r="E1876" s="17"/>
      <c r="F1876" s="13"/>
      <c r="G1876" s="13"/>
      <c r="H1876" s="13"/>
      <c r="I1876" s="13"/>
      <c r="J1876" s="13"/>
      <c r="K1876" s="13"/>
      <c r="L1876" s="22"/>
      <c r="M1876" s="22"/>
      <c r="N1876" s="22"/>
      <c r="O1876" s="900"/>
      <c r="P1876" s="764"/>
      <c r="Q1876" s="650"/>
    </row>
    <row r="1877" spans="1:17" s="10" customFormat="1" ht="37.799999999999997">
      <c r="A1877" s="646"/>
      <c r="B1877" s="24"/>
      <c r="C1877" s="23"/>
      <c r="D1877" s="14"/>
      <c r="E1877" s="17"/>
      <c r="F1877" s="13"/>
      <c r="G1877" s="13"/>
      <c r="H1877" s="13"/>
      <c r="I1877" s="13"/>
      <c r="J1877" s="13"/>
      <c r="K1877" s="13"/>
      <c r="L1877" s="22"/>
      <c r="M1877" s="22"/>
      <c r="N1877" s="22"/>
      <c r="O1877" s="900"/>
      <c r="P1877" s="764"/>
      <c r="Q1877" s="650"/>
    </row>
    <row r="1878" spans="1:17" s="10" customFormat="1" ht="37.799999999999997">
      <c r="A1878" s="646"/>
      <c r="B1878" s="24"/>
      <c r="C1878" s="23"/>
      <c r="D1878" s="14"/>
      <c r="E1878" s="17"/>
      <c r="F1878" s="13"/>
      <c r="G1878" s="13"/>
      <c r="H1878" s="13"/>
      <c r="I1878" s="13"/>
      <c r="J1878" s="13"/>
      <c r="K1878" s="13"/>
      <c r="L1878" s="22"/>
      <c r="M1878" s="22"/>
      <c r="N1878" s="22"/>
      <c r="O1878" s="900"/>
      <c r="P1878" s="764"/>
      <c r="Q1878" s="650"/>
    </row>
    <row r="1879" spans="1:17" s="10" customFormat="1" ht="37.799999999999997">
      <c r="A1879" s="646"/>
      <c r="B1879" s="24"/>
      <c r="C1879" s="23"/>
      <c r="D1879" s="14"/>
      <c r="E1879" s="17"/>
      <c r="F1879" s="13"/>
      <c r="G1879" s="13"/>
      <c r="H1879" s="13"/>
      <c r="I1879" s="13"/>
      <c r="J1879" s="13"/>
      <c r="K1879" s="13"/>
      <c r="L1879" s="22"/>
      <c r="M1879" s="22"/>
      <c r="N1879" s="22"/>
      <c r="O1879" s="900"/>
      <c r="P1879" s="764"/>
      <c r="Q1879" s="650"/>
    </row>
    <row r="1880" spans="1:17" s="10" customFormat="1" ht="37.799999999999997">
      <c r="A1880" s="646"/>
      <c r="B1880" s="24"/>
      <c r="C1880" s="23"/>
      <c r="D1880" s="14"/>
      <c r="E1880" s="17"/>
      <c r="F1880" s="13"/>
      <c r="G1880" s="13"/>
      <c r="H1880" s="13"/>
      <c r="I1880" s="13"/>
      <c r="J1880" s="13"/>
      <c r="K1880" s="13"/>
      <c r="L1880" s="22"/>
      <c r="M1880" s="22"/>
      <c r="N1880" s="22"/>
      <c r="O1880" s="900"/>
      <c r="P1880" s="764"/>
      <c r="Q1880" s="650"/>
    </row>
    <row r="1881" spans="1:17" s="10" customFormat="1" ht="37.799999999999997">
      <c r="A1881" s="646"/>
      <c r="B1881" s="16"/>
      <c r="C1881" s="15"/>
      <c r="D1881" s="14"/>
      <c r="E1881" s="17"/>
      <c r="F1881" s="13"/>
      <c r="G1881" s="12"/>
      <c r="H1881" s="12"/>
      <c r="I1881" s="12"/>
      <c r="J1881" s="12"/>
      <c r="K1881" s="12"/>
      <c r="L1881" s="11"/>
      <c r="M1881" s="11"/>
      <c r="N1881" s="11"/>
      <c r="O1881" s="901"/>
      <c r="P1881" s="764"/>
      <c r="Q1881" s="650"/>
    </row>
    <row r="1882" spans="1:17" s="10" customFormat="1" ht="37.799999999999997">
      <c r="A1882" s="646"/>
      <c r="B1882" s="16"/>
      <c r="C1882" s="15"/>
      <c r="D1882" s="14"/>
      <c r="E1882" s="17"/>
      <c r="F1882" s="13"/>
      <c r="G1882" s="12"/>
      <c r="H1882" s="12"/>
      <c r="I1882" s="12"/>
      <c r="J1882" s="12"/>
      <c r="K1882" s="12"/>
      <c r="L1882" s="11"/>
      <c r="M1882" s="11"/>
      <c r="N1882" s="11"/>
      <c r="O1882" s="901"/>
      <c r="P1882" s="764"/>
      <c r="Q1882" s="650"/>
    </row>
    <row r="1883" spans="1:17" s="10" customFormat="1" ht="37.799999999999997">
      <c r="A1883" s="646"/>
      <c r="B1883" s="16"/>
      <c r="C1883" s="15"/>
      <c r="D1883" s="14"/>
      <c r="E1883" s="17"/>
      <c r="F1883" s="13"/>
      <c r="G1883" s="12"/>
      <c r="H1883" s="12"/>
      <c r="I1883" s="12"/>
      <c r="J1883" s="12"/>
      <c r="K1883" s="12"/>
      <c r="L1883" s="11"/>
      <c r="M1883" s="11"/>
      <c r="N1883" s="11"/>
      <c r="O1883" s="901"/>
      <c r="P1883" s="764"/>
      <c r="Q1883" s="650"/>
    </row>
    <row r="1884" spans="1:17" s="10" customFormat="1" ht="37.799999999999997">
      <c r="A1884" s="646"/>
      <c r="B1884" s="16"/>
      <c r="C1884" s="15"/>
      <c r="D1884" s="14"/>
      <c r="E1884" s="17"/>
      <c r="F1884" s="13"/>
      <c r="G1884" s="12"/>
      <c r="H1884" s="12"/>
      <c r="I1884" s="12"/>
      <c r="J1884" s="12"/>
      <c r="K1884" s="12"/>
      <c r="L1884" s="11"/>
      <c r="M1884" s="11"/>
      <c r="N1884" s="11"/>
      <c r="O1884" s="901"/>
      <c r="P1884" s="764"/>
      <c r="Q1884" s="650"/>
    </row>
    <row r="1885" spans="1:17" s="10" customFormat="1" ht="37.799999999999997">
      <c r="A1885" s="646"/>
      <c r="B1885" s="16"/>
      <c r="C1885" s="15"/>
      <c r="D1885" s="14"/>
      <c r="E1885" s="17"/>
      <c r="F1885" s="13"/>
      <c r="G1885" s="12"/>
      <c r="H1885" s="12"/>
      <c r="I1885" s="12"/>
      <c r="J1885" s="12"/>
      <c r="K1885" s="12"/>
      <c r="L1885" s="11"/>
      <c r="M1885" s="11"/>
      <c r="N1885" s="11"/>
      <c r="O1885" s="901"/>
      <c r="P1885" s="764"/>
      <c r="Q1885" s="650"/>
    </row>
    <row r="1886" spans="1:17" s="10" customFormat="1" ht="37.799999999999997">
      <c r="A1886" s="646"/>
      <c r="B1886" s="16"/>
      <c r="C1886" s="15"/>
      <c r="D1886" s="14"/>
      <c r="E1886" s="17"/>
      <c r="F1886" s="13"/>
      <c r="G1886" s="12"/>
      <c r="H1886" s="12"/>
      <c r="I1886" s="12"/>
      <c r="J1886" s="12"/>
      <c r="K1886" s="12"/>
      <c r="L1886" s="11"/>
      <c r="M1886" s="11"/>
      <c r="N1886" s="11"/>
      <c r="O1886" s="901"/>
      <c r="P1886" s="764"/>
      <c r="Q1886" s="650"/>
    </row>
    <row r="1887" spans="1:17" s="10" customFormat="1" ht="37.799999999999997">
      <c r="A1887" s="646"/>
      <c r="B1887" s="16"/>
      <c r="C1887" s="15"/>
      <c r="D1887" s="14"/>
      <c r="E1887" s="17"/>
      <c r="F1887" s="13"/>
      <c r="G1887" s="12"/>
      <c r="H1887" s="12"/>
      <c r="I1887" s="12"/>
      <c r="J1887" s="12"/>
      <c r="K1887" s="12"/>
      <c r="L1887" s="11"/>
      <c r="M1887" s="11"/>
      <c r="N1887" s="11"/>
      <c r="O1887" s="901"/>
      <c r="P1887" s="764"/>
      <c r="Q1887" s="650"/>
    </row>
    <row r="1888" spans="1:17" s="10" customFormat="1" ht="37.799999999999997">
      <c r="A1888" s="646"/>
      <c r="B1888" s="16"/>
      <c r="C1888" s="15"/>
      <c r="D1888" s="14"/>
      <c r="E1888" s="17"/>
      <c r="F1888" s="13"/>
      <c r="G1888" s="12"/>
      <c r="H1888" s="12"/>
      <c r="I1888" s="12"/>
      <c r="J1888" s="12"/>
      <c r="K1888" s="12"/>
      <c r="L1888" s="11"/>
      <c r="M1888" s="11"/>
      <c r="N1888" s="11"/>
      <c r="O1888" s="901"/>
      <c r="P1888" s="764"/>
      <c r="Q1888" s="650"/>
    </row>
    <row r="1889" spans="1:17" s="10" customFormat="1" ht="37.799999999999997">
      <c r="A1889" s="646"/>
      <c r="B1889" s="16"/>
      <c r="C1889" s="15"/>
      <c r="D1889" s="14"/>
      <c r="E1889" s="17"/>
      <c r="F1889" s="13"/>
      <c r="G1889" s="12"/>
      <c r="H1889" s="12"/>
      <c r="I1889" s="12"/>
      <c r="J1889" s="12"/>
      <c r="K1889" s="12"/>
      <c r="L1889" s="11"/>
      <c r="M1889" s="11"/>
      <c r="N1889" s="11"/>
      <c r="O1889" s="901"/>
      <c r="P1889" s="764"/>
      <c r="Q1889" s="650"/>
    </row>
    <row r="1890" spans="1:17" s="10" customFormat="1" ht="37.799999999999997">
      <c r="A1890" s="646"/>
      <c r="B1890" s="16"/>
      <c r="C1890" s="15"/>
      <c r="D1890" s="14"/>
      <c r="E1890" s="17"/>
      <c r="F1890" s="13"/>
      <c r="G1890" s="12"/>
      <c r="H1890" s="12"/>
      <c r="I1890" s="12"/>
      <c r="J1890" s="12"/>
      <c r="K1890" s="12"/>
      <c r="L1890" s="11"/>
      <c r="M1890" s="11"/>
      <c r="N1890" s="11"/>
      <c r="O1890" s="901"/>
      <c r="P1890" s="764"/>
      <c r="Q1890" s="650"/>
    </row>
    <row r="1891" spans="1:17" s="10" customFormat="1" ht="37.799999999999997">
      <c r="A1891" s="646"/>
      <c r="B1891" s="16"/>
      <c r="C1891" s="15"/>
      <c r="D1891" s="14"/>
      <c r="E1891" s="17"/>
      <c r="F1891" s="13"/>
      <c r="G1891" s="12"/>
      <c r="H1891" s="12"/>
      <c r="I1891" s="12"/>
      <c r="J1891" s="12"/>
      <c r="K1891" s="12"/>
      <c r="L1891" s="11"/>
      <c r="M1891" s="11"/>
      <c r="N1891" s="11"/>
      <c r="O1891" s="901"/>
      <c r="P1891" s="764"/>
      <c r="Q1891" s="650"/>
    </row>
    <row r="1892" spans="1:17" s="10" customFormat="1" ht="37.799999999999997">
      <c r="A1892" s="646"/>
      <c r="B1892" s="16"/>
      <c r="C1892" s="15"/>
      <c r="D1892" s="14"/>
      <c r="E1892" s="17"/>
      <c r="F1892" s="13"/>
      <c r="G1892" s="12"/>
      <c r="H1892" s="12"/>
      <c r="I1892" s="12"/>
      <c r="J1892" s="12"/>
      <c r="K1892" s="12"/>
      <c r="L1892" s="11"/>
      <c r="M1892" s="11"/>
      <c r="N1892" s="11"/>
      <c r="O1892" s="901"/>
      <c r="P1892" s="764"/>
      <c r="Q1892" s="650"/>
    </row>
    <row r="1893" spans="1:17" s="10" customFormat="1" ht="37.799999999999997">
      <c r="A1893" s="646"/>
      <c r="B1893" s="16"/>
      <c r="C1893" s="15"/>
      <c r="D1893" s="14"/>
      <c r="E1893" s="17"/>
      <c r="F1893" s="13"/>
      <c r="G1893" s="12"/>
      <c r="H1893" s="12"/>
      <c r="I1893" s="12"/>
      <c r="J1893" s="12"/>
      <c r="K1893" s="12"/>
      <c r="L1893" s="11"/>
      <c r="M1893" s="11"/>
      <c r="N1893" s="11"/>
      <c r="O1893" s="901"/>
      <c r="P1893" s="764"/>
      <c r="Q1893" s="650"/>
    </row>
    <row r="1894" spans="1:17" s="10" customFormat="1" ht="37.799999999999997">
      <c r="A1894" s="646"/>
      <c r="B1894" s="16"/>
      <c r="C1894" s="15"/>
      <c r="D1894" s="14"/>
      <c r="E1894" s="17"/>
      <c r="F1894" s="13"/>
      <c r="G1894" s="12"/>
      <c r="H1894" s="12"/>
      <c r="I1894" s="12"/>
      <c r="J1894" s="12"/>
      <c r="K1894" s="12"/>
      <c r="L1894" s="11"/>
      <c r="M1894" s="11"/>
      <c r="N1894" s="11"/>
      <c r="O1894" s="901"/>
      <c r="P1894" s="764"/>
      <c r="Q1894" s="650"/>
    </row>
    <row r="1895" spans="1:17" s="10" customFormat="1" ht="37.799999999999997">
      <c r="A1895" s="646"/>
      <c r="B1895" s="16"/>
      <c r="C1895" s="15"/>
      <c r="D1895" s="14"/>
      <c r="E1895" s="17"/>
      <c r="F1895" s="13"/>
      <c r="G1895" s="12"/>
      <c r="H1895" s="12"/>
      <c r="I1895" s="12"/>
      <c r="J1895" s="12"/>
      <c r="K1895" s="12"/>
      <c r="L1895" s="11"/>
      <c r="M1895" s="11"/>
      <c r="N1895" s="11"/>
      <c r="O1895" s="901"/>
      <c r="P1895" s="764"/>
      <c r="Q1895" s="650"/>
    </row>
    <row r="1896" spans="1:17" s="10" customFormat="1" ht="37.799999999999997">
      <c r="A1896" s="646"/>
      <c r="B1896" s="16"/>
      <c r="C1896" s="15"/>
      <c r="D1896" s="14"/>
      <c r="E1896" s="17"/>
      <c r="F1896" s="13"/>
      <c r="G1896" s="12"/>
      <c r="H1896" s="12"/>
      <c r="I1896" s="12"/>
      <c r="J1896" s="12"/>
      <c r="K1896" s="12"/>
      <c r="L1896" s="11"/>
      <c r="M1896" s="11"/>
      <c r="N1896" s="11"/>
      <c r="O1896" s="901"/>
      <c r="P1896" s="764"/>
      <c r="Q1896" s="650"/>
    </row>
    <row r="1897" spans="1:17" s="10" customFormat="1" ht="37.799999999999997">
      <c r="A1897" s="646"/>
      <c r="B1897" s="16"/>
      <c r="C1897" s="15"/>
      <c r="D1897" s="14"/>
      <c r="E1897" s="17"/>
      <c r="F1897" s="13"/>
      <c r="G1897" s="12"/>
      <c r="H1897" s="12"/>
      <c r="I1897" s="12"/>
      <c r="J1897" s="12"/>
      <c r="K1897" s="12"/>
      <c r="L1897" s="11"/>
      <c r="M1897" s="11"/>
      <c r="N1897" s="11"/>
      <c r="O1897" s="901"/>
      <c r="P1897" s="764"/>
      <c r="Q1897" s="650"/>
    </row>
    <row r="1898" spans="1:17" s="10" customFormat="1" ht="37.799999999999997">
      <c r="A1898" s="646"/>
      <c r="B1898" s="16"/>
      <c r="C1898" s="15"/>
      <c r="D1898" s="14"/>
      <c r="E1898" s="17"/>
      <c r="F1898" s="13"/>
      <c r="G1898" s="12"/>
      <c r="H1898" s="12"/>
      <c r="I1898" s="12"/>
      <c r="J1898" s="12"/>
      <c r="K1898" s="12"/>
      <c r="L1898" s="11"/>
      <c r="M1898" s="11"/>
      <c r="N1898" s="11"/>
      <c r="O1898" s="901"/>
      <c r="P1898" s="764"/>
      <c r="Q1898" s="650"/>
    </row>
    <row r="1899" spans="1:17" s="10" customFormat="1" ht="37.799999999999997">
      <c r="A1899" s="646"/>
      <c r="B1899" s="16"/>
      <c r="C1899" s="15"/>
      <c r="D1899" s="14"/>
      <c r="E1899" s="17"/>
      <c r="F1899" s="13"/>
      <c r="G1899" s="12"/>
      <c r="H1899" s="12"/>
      <c r="I1899" s="12"/>
      <c r="J1899" s="12"/>
      <c r="K1899" s="12"/>
      <c r="L1899" s="11"/>
      <c r="M1899" s="11"/>
      <c r="N1899" s="11"/>
      <c r="O1899" s="901"/>
      <c r="P1899" s="764"/>
      <c r="Q1899" s="650"/>
    </row>
    <row r="1900" spans="1:17" s="10" customFormat="1" ht="37.799999999999997">
      <c r="A1900" s="646"/>
      <c r="B1900" s="16"/>
      <c r="C1900" s="15"/>
      <c r="D1900" s="14"/>
      <c r="E1900" s="17"/>
      <c r="F1900" s="13"/>
      <c r="G1900" s="12"/>
      <c r="H1900" s="12"/>
      <c r="I1900" s="12"/>
      <c r="J1900" s="12"/>
      <c r="K1900" s="12"/>
      <c r="L1900" s="11"/>
      <c r="M1900" s="11"/>
      <c r="N1900" s="11"/>
      <c r="O1900" s="901"/>
      <c r="P1900" s="764"/>
      <c r="Q1900" s="650"/>
    </row>
    <row r="1901" spans="1:17" s="10" customFormat="1" ht="37.799999999999997">
      <c r="A1901" s="646"/>
      <c r="B1901" s="16"/>
      <c r="C1901" s="15"/>
      <c r="D1901" s="14"/>
      <c r="E1901" s="17"/>
      <c r="F1901" s="13"/>
      <c r="G1901" s="12"/>
      <c r="H1901" s="12"/>
      <c r="I1901" s="12"/>
      <c r="J1901" s="12"/>
      <c r="K1901" s="12"/>
      <c r="L1901" s="11"/>
      <c r="M1901" s="11"/>
      <c r="N1901" s="11"/>
      <c r="O1901" s="901"/>
      <c r="P1901" s="764"/>
      <c r="Q1901" s="650"/>
    </row>
    <row r="1902" spans="1:17" s="10" customFormat="1" ht="37.799999999999997">
      <c r="A1902" s="646"/>
      <c r="B1902" s="16"/>
      <c r="C1902" s="15"/>
      <c r="D1902" s="14"/>
      <c r="E1902" s="17"/>
      <c r="F1902" s="13"/>
      <c r="G1902" s="12"/>
      <c r="H1902" s="12"/>
      <c r="I1902" s="12"/>
      <c r="J1902" s="12"/>
      <c r="K1902" s="12"/>
      <c r="L1902" s="11"/>
      <c r="M1902" s="11"/>
      <c r="N1902" s="11"/>
      <c r="O1902" s="901"/>
      <c r="P1902" s="764"/>
      <c r="Q1902" s="650"/>
    </row>
    <row r="1903" spans="1:17" s="10" customFormat="1" ht="37.799999999999997">
      <c r="A1903" s="646"/>
      <c r="B1903" s="16"/>
      <c r="C1903" s="15"/>
      <c r="D1903" s="14"/>
      <c r="E1903" s="17"/>
      <c r="F1903" s="13"/>
      <c r="G1903" s="12"/>
      <c r="H1903" s="12"/>
      <c r="I1903" s="12"/>
      <c r="J1903" s="12"/>
      <c r="K1903" s="12"/>
      <c r="L1903" s="11"/>
      <c r="M1903" s="11"/>
      <c r="N1903" s="11"/>
      <c r="O1903" s="901"/>
      <c r="P1903" s="764"/>
      <c r="Q1903" s="650"/>
    </row>
    <row r="1904" spans="1:17" s="10" customFormat="1" ht="37.799999999999997">
      <c r="A1904" s="646"/>
      <c r="B1904" s="16"/>
      <c r="C1904" s="15"/>
      <c r="D1904" s="14"/>
      <c r="E1904" s="17"/>
      <c r="F1904" s="13"/>
      <c r="G1904" s="12"/>
      <c r="H1904" s="12"/>
      <c r="I1904" s="12"/>
      <c r="J1904" s="12"/>
      <c r="K1904" s="12"/>
      <c r="L1904" s="11"/>
      <c r="M1904" s="11"/>
      <c r="N1904" s="11"/>
      <c r="O1904" s="901"/>
      <c r="P1904" s="764"/>
      <c r="Q1904" s="650"/>
    </row>
    <row r="1905" spans="1:17" s="10" customFormat="1" ht="37.799999999999997">
      <c r="A1905" s="646"/>
      <c r="B1905" s="16"/>
      <c r="C1905" s="15"/>
      <c r="D1905" s="14"/>
      <c r="E1905" s="17"/>
      <c r="F1905" s="13"/>
      <c r="G1905" s="12"/>
      <c r="H1905" s="12"/>
      <c r="I1905" s="12"/>
      <c r="J1905" s="12"/>
      <c r="K1905" s="12"/>
      <c r="L1905" s="11"/>
      <c r="M1905" s="11"/>
      <c r="N1905" s="11"/>
      <c r="O1905" s="901"/>
      <c r="P1905" s="764"/>
      <c r="Q1905" s="650"/>
    </row>
    <row r="1906" spans="1:17" s="10" customFormat="1" ht="37.799999999999997">
      <c r="A1906" s="646"/>
      <c r="B1906" s="16"/>
      <c r="C1906" s="15"/>
      <c r="D1906" s="14"/>
      <c r="E1906" s="17"/>
      <c r="F1906" s="13"/>
      <c r="G1906" s="12"/>
      <c r="H1906" s="12"/>
      <c r="I1906" s="12"/>
      <c r="J1906" s="12"/>
      <c r="K1906" s="12"/>
      <c r="L1906" s="11"/>
      <c r="M1906" s="11"/>
      <c r="N1906" s="11"/>
      <c r="O1906" s="901"/>
      <c r="P1906" s="764"/>
      <c r="Q1906" s="650"/>
    </row>
    <row r="1907" spans="1:17" s="10" customFormat="1" ht="37.799999999999997">
      <c r="A1907" s="646"/>
      <c r="B1907" s="16"/>
      <c r="C1907" s="15"/>
      <c r="D1907" s="14"/>
      <c r="E1907" s="17"/>
      <c r="F1907" s="13"/>
      <c r="G1907" s="12"/>
      <c r="H1907" s="12"/>
      <c r="I1907" s="12"/>
      <c r="J1907" s="12"/>
      <c r="K1907" s="12"/>
      <c r="L1907" s="11"/>
      <c r="M1907" s="11"/>
      <c r="N1907" s="11"/>
      <c r="O1907" s="901"/>
      <c r="P1907" s="764"/>
      <c r="Q1907" s="650"/>
    </row>
    <row r="1908" spans="1:17" s="10" customFormat="1" ht="37.799999999999997">
      <c r="A1908" s="646"/>
      <c r="B1908" s="16"/>
      <c r="C1908" s="15"/>
      <c r="D1908" s="14"/>
      <c r="E1908" s="17"/>
      <c r="F1908" s="13"/>
      <c r="G1908" s="12"/>
      <c r="H1908" s="12"/>
      <c r="I1908" s="12"/>
      <c r="J1908" s="12"/>
      <c r="K1908" s="12"/>
      <c r="L1908" s="11"/>
      <c r="M1908" s="11"/>
      <c r="N1908" s="11"/>
      <c r="O1908" s="901"/>
      <c r="P1908" s="764"/>
      <c r="Q1908" s="650"/>
    </row>
    <row r="1909" spans="1:17" s="10" customFormat="1" ht="37.799999999999997">
      <c r="A1909" s="646"/>
      <c r="B1909" s="16"/>
      <c r="C1909" s="15"/>
      <c r="D1909" s="14"/>
      <c r="E1909" s="17"/>
      <c r="F1909" s="13"/>
      <c r="G1909" s="12"/>
      <c r="H1909" s="12"/>
      <c r="I1909" s="12"/>
      <c r="J1909" s="12"/>
      <c r="K1909" s="12"/>
      <c r="L1909" s="11"/>
      <c r="M1909" s="11"/>
      <c r="N1909" s="11"/>
      <c r="O1909" s="901"/>
      <c r="P1909" s="764"/>
      <c r="Q1909" s="650"/>
    </row>
    <row r="1910" spans="1:17" s="10" customFormat="1" ht="37.799999999999997">
      <c r="A1910" s="646"/>
      <c r="B1910" s="16"/>
      <c r="C1910" s="15"/>
      <c r="D1910" s="14"/>
      <c r="E1910" s="17"/>
      <c r="F1910" s="13"/>
      <c r="G1910" s="12"/>
      <c r="H1910" s="12"/>
      <c r="I1910" s="12"/>
      <c r="J1910" s="12"/>
      <c r="K1910" s="12"/>
      <c r="L1910" s="11"/>
      <c r="M1910" s="11"/>
      <c r="N1910" s="11"/>
      <c r="O1910" s="901"/>
      <c r="P1910" s="764"/>
      <c r="Q1910" s="650"/>
    </row>
    <row r="1911" spans="1:17" s="10" customFormat="1" ht="37.799999999999997">
      <c r="A1911" s="646"/>
      <c r="B1911" s="16"/>
      <c r="C1911" s="15"/>
      <c r="D1911" s="14"/>
      <c r="E1911" s="17"/>
      <c r="F1911" s="13"/>
      <c r="G1911" s="12"/>
      <c r="H1911" s="12"/>
      <c r="I1911" s="12"/>
      <c r="J1911" s="12"/>
      <c r="K1911" s="12"/>
      <c r="L1911" s="11"/>
      <c r="M1911" s="11"/>
      <c r="N1911" s="11"/>
      <c r="O1911" s="901"/>
      <c r="P1911" s="764"/>
      <c r="Q1911" s="650"/>
    </row>
    <row r="1912" spans="1:17" s="10" customFormat="1" ht="37.799999999999997">
      <c r="A1912" s="646"/>
      <c r="B1912" s="16"/>
      <c r="C1912" s="15"/>
      <c r="D1912" s="14"/>
      <c r="E1912" s="17"/>
      <c r="F1912" s="13"/>
      <c r="G1912" s="12"/>
      <c r="H1912" s="12"/>
      <c r="I1912" s="12"/>
      <c r="J1912" s="12"/>
      <c r="K1912" s="12"/>
      <c r="L1912" s="11"/>
      <c r="M1912" s="11"/>
      <c r="N1912" s="11"/>
      <c r="O1912" s="901"/>
      <c r="P1912" s="764"/>
      <c r="Q1912" s="650"/>
    </row>
    <row r="1913" spans="1:17" s="10" customFormat="1" ht="37.799999999999997">
      <c r="A1913" s="646"/>
      <c r="B1913" s="16"/>
      <c r="C1913" s="15"/>
      <c r="D1913" s="14"/>
      <c r="E1913" s="17"/>
      <c r="F1913" s="13"/>
      <c r="G1913" s="12"/>
      <c r="H1913" s="12"/>
      <c r="I1913" s="12"/>
      <c r="J1913" s="12"/>
      <c r="K1913" s="12"/>
      <c r="L1913" s="11"/>
      <c r="M1913" s="11"/>
      <c r="N1913" s="11"/>
      <c r="O1913" s="901"/>
      <c r="P1913" s="764"/>
      <c r="Q1913" s="650"/>
    </row>
    <row r="1914" spans="1:17" s="10" customFormat="1" ht="37.799999999999997">
      <c r="A1914" s="646"/>
      <c r="B1914" s="16"/>
      <c r="C1914" s="15"/>
      <c r="D1914" s="14"/>
      <c r="E1914" s="17"/>
      <c r="F1914" s="13"/>
      <c r="G1914" s="12"/>
      <c r="H1914" s="12"/>
      <c r="I1914" s="12"/>
      <c r="J1914" s="12"/>
      <c r="K1914" s="12"/>
      <c r="L1914" s="11"/>
      <c r="M1914" s="11"/>
      <c r="N1914" s="11"/>
      <c r="O1914" s="901"/>
      <c r="P1914" s="764"/>
      <c r="Q1914" s="650"/>
    </row>
    <row r="1915" spans="1:17" s="10" customFormat="1" ht="37.799999999999997">
      <c r="A1915" s="646"/>
      <c r="B1915" s="16"/>
      <c r="C1915" s="15"/>
      <c r="D1915" s="14"/>
      <c r="E1915" s="17"/>
      <c r="F1915" s="13"/>
      <c r="G1915" s="12"/>
      <c r="H1915" s="12"/>
      <c r="I1915" s="12"/>
      <c r="J1915" s="12"/>
      <c r="K1915" s="12"/>
      <c r="L1915" s="11"/>
      <c r="M1915" s="11"/>
      <c r="N1915" s="11"/>
      <c r="O1915" s="901"/>
      <c r="P1915" s="764"/>
      <c r="Q1915" s="650"/>
    </row>
    <row r="1916" spans="1:17" s="10" customFormat="1" ht="37.799999999999997">
      <c r="A1916" s="646"/>
      <c r="B1916" s="16"/>
      <c r="C1916" s="15"/>
      <c r="D1916" s="14"/>
      <c r="E1916" s="17"/>
      <c r="F1916" s="13"/>
      <c r="G1916" s="12"/>
      <c r="H1916" s="12"/>
      <c r="I1916" s="12"/>
      <c r="J1916" s="12"/>
      <c r="K1916" s="12"/>
      <c r="L1916" s="11"/>
      <c r="M1916" s="11"/>
      <c r="N1916" s="11"/>
      <c r="O1916" s="901"/>
      <c r="P1916" s="764"/>
      <c r="Q1916" s="650"/>
    </row>
    <row r="1917" spans="1:17" s="10" customFormat="1" ht="37.799999999999997">
      <c r="A1917" s="646"/>
      <c r="B1917" s="16"/>
      <c r="C1917" s="15"/>
      <c r="D1917" s="14"/>
      <c r="E1917" s="17"/>
      <c r="F1917" s="13"/>
      <c r="G1917" s="12"/>
      <c r="H1917" s="12"/>
      <c r="I1917" s="12"/>
      <c r="J1917" s="12"/>
      <c r="K1917" s="12"/>
      <c r="L1917" s="11"/>
      <c r="M1917" s="11"/>
      <c r="N1917" s="11"/>
      <c r="O1917" s="901"/>
      <c r="P1917" s="764"/>
      <c r="Q1917" s="650"/>
    </row>
    <row r="1918" spans="1:17" s="10" customFormat="1" ht="37.799999999999997">
      <c r="A1918" s="646"/>
      <c r="B1918" s="16"/>
      <c r="C1918" s="15"/>
      <c r="D1918" s="14"/>
      <c r="E1918" s="17"/>
      <c r="F1918" s="13"/>
      <c r="G1918" s="12"/>
      <c r="H1918" s="12"/>
      <c r="I1918" s="12"/>
      <c r="J1918" s="12"/>
      <c r="K1918" s="12"/>
      <c r="L1918" s="11"/>
      <c r="M1918" s="11"/>
      <c r="N1918" s="11"/>
      <c r="O1918" s="901"/>
      <c r="P1918" s="764"/>
      <c r="Q1918" s="650"/>
    </row>
    <row r="1919" spans="1:17" s="10" customFormat="1" ht="37.799999999999997">
      <c r="A1919" s="646"/>
      <c r="B1919" s="16"/>
      <c r="C1919" s="15"/>
      <c r="D1919" s="14"/>
      <c r="E1919" s="17"/>
      <c r="F1919" s="13"/>
      <c r="G1919" s="12"/>
      <c r="H1919" s="12"/>
      <c r="I1919" s="12"/>
      <c r="J1919" s="12"/>
      <c r="K1919" s="12"/>
      <c r="L1919" s="11"/>
      <c r="M1919" s="11"/>
      <c r="N1919" s="11"/>
      <c r="O1919" s="901"/>
      <c r="P1919" s="764"/>
      <c r="Q1919" s="650"/>
    </row>
    <row r="1920" spans="1:17" s="10" customFormat="1" ht="37.799999999999997">
      <c r="A1920" s="646"/>
      <c r="B1920" s="16"/>
      <c r="C1920" s="15"/>
      <c r="D1920" s="14"/>
      <c r="E1920" s="17"/>
      <c r="F1920" s="13"/>
      <c r="G1920" s="12"/>
      <c r="H1920" s="12"/>
      <c r="I1920" s="12"/>
      <c r="J1920" s="12"/>
      <c r="K1920" s="12"/>
      <c r="L1920" s="11"/>
      <c r="M1920" s="11"/>
      <c r="N1920" s="11"/>
      <c r="O1920" s="901"/>
      <c r="P1920" s="764"/>
      <c r="Q1920" s="650"/>
    </row>
    <row r="1921" spans="1:17" s="10" customFormat="1" ht="37.799999999999997">
      <c r="A1921" s="646"/>
      <c r="B1921" s="16"/>
      <c r="C1921" s="15"/>
      <c r="D1921" s="14"/>
      <c r="E1921" s="17"/>
      <c r="F1921" s="13"/>
      <c r="G1921" s="12"/>
      <c r="H1921" s="12"/>
      <c r="I1921" s="12"/>
      <c r="J1921" s="12"/>
      <c r="K1921" s="12"/>
      <c r="L1921" s="11"/>
      <c r="M1921" s="11"/>
      <c r="N1921" s="11"/>
      <c r="O1921" s="901"/>
      <c r="P1921" s="764"/>
      <c r="Q1921" s="650"/>
    </row>
    <row r="1922" spans="1:17" s="10" customFormat="1" ht="37.799999999999997">
      <c r="A1922" s="646"/>
      <c r="B1922" s="16"/>
      <c r="C1922" s="15"/>
      <c r="D1922" s="14"/>
      <c r="E1922" s="17"/>
      <c r="F1922" s="13"/>
      <c r="G1922" s="12"/>
      <c r="H1922" s="12"/>
      <c r="I1922" s="12"/>
      <c r="J1922" s="12"/>
      <c r="K1922" s="12"/>
      <c r="L1922" s="11"/>
      <c r="M1922" s="11"/>
      <c r="N1922" s="11"/>
      <c r="O1922" s="901"/>
      <c r="P1922" s="764"/>
      <c r="Q1922" s="650"/>
    </row>
    <row r="1923" spans="1:17" s="10" customFormat="1" ht="37.799999999999997">
      <c r="A1923" s="646"/>
      <c r="B1923" s="16"/>
      <c r="C1923" s="15"/>
      <c r="D1923" s="14"/>
      <c r="E1923" s="17"/>
      <c r="F1923" s="13"/>
      <c r="G1923" s="12"/>
      <c r="H1923" s="12"/>
      <c r="I1923" s="12"/>
      <c r="J1923" s="12"/>
      <c r="K1923" s="12"/>
      <c r="L1923" s="11"/>
      <c r="M1923" s="11"/>
      <c r="N1923" s="11"/>
      <c r="O1923" s="901"/>
      <c r="P1923" s="764"/>
      <c r="Q1923" s="650"/>
    </row>
    <row r="1924" spans="1:17" s="10" customFormat="1" ht="37.799999999999997">
      <c r="A1924" s="646"/>
      <c r="B1924" s="16"/>
      <c r="C1924" s="15"/>
      <c r="D1924" s="14"/>
      <c r="E1924" s="17"/>
      <c r="F1924" s="13"/>
      <c r="G1924" s="12"/>
      <c r="H1924" s="12"/>
      <c r="I1924" s="12"/>
      <c r="J1924" s="12"/>
      <c r="K1924" s="12"/>
      <c r="L1924" s="11"/>
      <c r="M1924" s="11"/>
      <c r="N1924" s="11"/>
      <c r="O1924" s="901"/>
      <c r="P1924" s="764"/>
      <c r="Q1924" s="650"/>
    </row>
    <row r="1925" spans="1:17" s="10" customFormat="1" ht="37.799999999999997">
      <c r="A1925" s="646"/>
      <c r="B1925" s="16"/>
      <c r="C1925" s="15"/>
      <c r="D1925" s="14"/>
      <c r="E1925" s="17"/>
      <c r="F1925" s="13"/>
      <c r="G1925" s="12"/>
      <c r="H1925" s="12"/>
      <c r="I1925" s="12"/>
      <c r="J1925" s="12"/>
      <c r="K1925" s="12"/>
      <c r="L1925" s="11"/>
      <c r="M1925" s="11"/>
      <c r="N1925" s="11"/>
      <c r="O1925" s="901"/>
      <c r="P1925" s="764"/>
      <c r="Q1925" s="650"/>
    </row>
    <row r="1926" spans="1:17" s="10" customFormat="1" ht="37.799999999999997">
      <c r="A1926" s="646"/>
      <c r="B1926" s="16"/>
      <c r="C1926" s="15"/>
      <c r="D1926" s="14"/>
      <c r="E1926" s="17"/>
      <c r="F1926" s="13"/>
      <c r="G1926" s="12"/>
      <c r="H1926" s="12"/>
      <c r="I1926" s="12"/>
      <c r="J1926" s="12"/>
      <c r="K1926" s="12"/>
      <c r="L1926" s="11"/>
      <c r="M1926" s="11"/>
      <c r="N1926" s="11"/>
      <c r="O1926" s="901"/>
      <c r="P1926" s="764"/>
      <c r="Q1926" s="650"/>
    </row>
    <row r="1927" spans="1:17" s="10" customFormat="1" ht="37.799999999999997">
      <c r="A1927" s="646"/>
      <c r="B1927" s="16"/>
      <c r="C1927" s="15"/>
      <c r="D1927" s="14"/>
      <c r="E1927" s="17"/>
      <c r="F1927" s="13"/>
      <c r="G1927" s="12"/>
      <c r="H1927" s="12"/>
      <c r="I1927" s="12"/>
      <c r="J1927" s="12"/>
      <c r="K1927" s="12"/>
      <c r="L1927" s="11"/>
      <c r="M1927" s="11"/>
      <c r="N1927" s="11"/>
      <c r="O1927" s="901"/>
      <c r="P1927" s="764"/>
      <c r="Q1927" s="650"/>
    </row>
    <row r="1928" spans="1:17" s="10" customFormat="1" ht="37.799999999999997">
      <c r="A1928" s="646"/>
      <c r="B1928" s="16"/>
      <c r="C1928" s="15"/>
      <c r="D1928" s="14"/>
      <c r="E1928" s="17"/>
      <c r="F1928" s="13"/>
      <c r="G1928" s="12"/>
      <c r="H1928" s="12"/>
      <c r="I1928" s="12"/>
      <c r="J1928" s="12"/>
      <c r="K1928" s="12"/>
      <c r="L1928" s="11"/>
      <c r="M1928" s="11"/>
      <c r="N1928" s="11"/>
      <c r="O1928" s="901"/>
      <c r="P1928" s="764"/>
      <c r="Q1928" s="650"/>
    </row>
    <row r="1929" spans="1:17" s="10" customFormat="1" ht="37.799999999999997">
      <c r="A1929" s="646"/>
      <c r="B1929" s="16"/>
      <c r="C1929" s="15"/>
      <c r="D1929" s="14"/>
      <c r="E1929" s="17"/>
      <c r="F1929" s="13"/>
      <c r="G1929" s="12"/>
      <c r="H1929" s="12"/>
      <c r="I1929" s="12"/>
      <c r="J1929" s="12"/>
      <c r="K1929" s="12"/>
      <c r="L1929" s="11"/>
      <c r="M1929" s="11"/>
      <c r="N1929" s="11"/>
      <c r="O1929" s="901"/>
      <c r="P1929" s="764"/>
      <c r="Q1929" s="650"/>
    </row>
    <row r="1930" spans="1:17" s="10" customFormat="1" ht="37.799999999999997">
      <c r="A1930" s="646"/>
      <c r="B1930" s="16"/>
      <c r="C1930" s="15"/>
      <c r="D1930" s="14"/>
      <c r="E1930" s="17"/>
      <c r="F1930" s="13"/>
      <c r="G1930" s="12"/>
      <c r="H1930" s="12"/>
      <c r="I1930" s="12"/>
      <c r="J1930" s="12"/>
      <c r="K1930" s="12"/>
      <c r="L1930" s="11"/>
      <c r="M1930" s="11"/>
      <c r="N1930" s="11"/>
      <c r="O1930" s="901"/>
      <c r="P1930" s="764"/>
      <c r="Q1930" s="650"/>
    </row>
    <row r="1931" spans="1:17" s="10" customFormat="1" ht="37.799999999999997">
      <c r="A1931" s="646"/>
      <c r="B1931" s="16"/>
      <c r="C1931" s="15"/>
      <c r="D1931" s="14"/>
      <c r="E1931" s="17"/>
      <c r="F1931" s="13"/>
      <c r="G1931" s="12"/>
      <c r="H1931" s="12"/>
      <c r="I1931" s="12"/>
      <c r="J1931" s="12"/>
      <c r="K1931" s="12"/>
      <c r="L1931" s="11"/>
      <c r="M1931" s="11"/>
      <c r="N1931" s="11"/>
      <c r="O1931" s="901"/>
      <c r="P1931" s="764"/>
      <c r="Q1931" s="650"/>
    </row>
    <row r="1932" spans="1:17" s="10" customFormat="1" ht="37.799999999999997">
      <c r="A1932" s="646"/>
      <c r="B1932" s="16"/>
      <c r="C1932" s="15"/>
      <c r="D1932" s="14"/>
      <c r="E1932" s="17"/>
      <c r="F1932" s="13"/>
      <c r="G1932" s="12"/>
      <c r="H1932" s="12"/>
      <c r="I1932" s="12"/>
      <c r="J1932" s="12"/>
      <c r="K1932" s="12"/>
      <c r="L1932" s="11"/>
      <c r="M1932" s="11"/>
      <c r="N1932" s="11"/>
      <c r="O1932" s="901"/>
      <c r="P1932" s="764"/>
      <c r="Q1932" s="650"/>
    </row>
    <row r="1933" spans="1:17" s="10" customFormat="1" ht="37.799999999999997">
      <c r="A1933" s="646"/>
      <c r="B1933" s="16"/>
      <c r="C1933" s="15"/>
      <c r="D1933" s="14"/>
      <c r="E1933" s="17"/>
      <c r="F1933" s="13"/>
      <c r="G1933" s="12"/>
      <c r="H1933" s="12"/>
      <c r="I1933" s="12"/>
      <c r="J1933" s="12"/>
      <c r="K1933" s="12"/>
      <c r="L1933" s="11"/>
      <c r="M1933" s="11"/>
      <c r="N1933" s="11"/>
      <c r="O1933" s="901"/>
      <c r="P1933" s="764"/>
      <c r="Q1933" s="650"/>
    </row>
    <row r="1934" spans="1:17" s="10" customFormat="1" ht="37.799999999999997">
      <c r="A1934" s="646"/>
      <c r="B1934" s="16"/>
      <c r="C1934" s="15"/>
      <c r="D1934" s="14"/>
      <c r="E1934" s="17"/>
      <c r="F1934" s="13"/>
      <c r="G1934" s="12"/>
      <c r="H1934" s="12"/>
      <c r="I1934" s="12"/>
      <c r="J1934" s="12"/>
      <c r="K1934" s="12"/>
      <c r="L1934" s="11"/>
      <c r="M1934" s="11"/>
      <c r="N1934" s="11"/>
      <c r="O1934" s="901"/>
      <c r="P1934" s="764"/>
      <c r="Q1934" s="650"/>
    </row>
    <row r="1935" spans="1:17" s="10" customFormat="1" ht="37.799999999999997">
      <c r="A1935" s="646"/>
      <c r="B1935" s="16"/>
      <c r="C1935" s="15"/>
      <c r="D1935" s="14"/>
      <c r="E1935" s="17"/>
      <c r="F1935" s="13"/>
      <c r="G1935" s="12"/>
      <c r="H1935" s="12"/>
      <c r="I1935" s="12"/>
      <c r="J1935" s="12"/>
      <c r="K1935" s="12"/>
      <c r="L1935" s="11"/>
      <c r="M1935" s="11"/>
      <c r="N1935" s="11"/>
      <c r="O1935" s="901"/>
      <c r="P1935" s="764"/>
      <c r="Q1935" s="650"/>
    </row>
    <row r="1936" spans="1:17" s="10" customFormat="1" ht="37.799999999999997">
      <c r="A1936" s="646"/>
      <c r="B1936" s="16"/>
      <c r="C1936" s="15"/>
      <c r="D1936" s="14"/>
      <c r="E1936" s="17"/>
      <c r="F1936" s="13"/>
      <c r="G1936" s="12"/>
      <c r="H1936" s="12"/>
      <c r="I1936" s="12"/>
      <c r="J1936" s="12"/>
      <c r="K1936" s="12"/>
      <c r="L1936" s="11"/>
      <c r="M1936" s="11"/>
      <c r="N1936" s="11"/>
      <c r="O1936" s="901"/>
      <c r="P1936" s="764"/>
      <c r="Q1936" s="650"/>
    </row>
    <row r="1937" spans="1:17" s="10" customFormat="1" ht="37.799999999999997">
      <c r="A1937" s="646"/>
      <c r="B1937" s="16"/>
      <c r="C1937" s="15"/>
      <c r="D1937" s="14"/>
      <c r="E1937" s="17"/>
      <c r="F1937" s="13"/>
      <c r="G1937" s="12"/>
      <c r="H1937" s="12"/>
      <c r="I1937" s="12"/>
      <c r="J1937" s="12"/>
      <c r="K1937" s="12"/>
      <c r="L1937" s="11"/>
      <c r="M1937" s="11"/>
      <c r="N1937" s="11"/>
      <c r="O1937" s="901"/>
      <c r="P1937" s="764"/>
      <c r="Q1937" s="650"/>
    </row>
    <row r="1938" spans="1:17" s="10" customFormat="1" ht="37.799999999999997">
      <c r="A1938" s="646"/>
      <c r="B1938" s="16"/>
      <c r="C1938" s="15"/>
      <c r="D1938" s="14"/>
      <c r="E1938" s="17"/>
      <c r="F1938" s="13"/>
      <c r="G1938" s="12"/>
      <c r="H1938" s="12"/>
      <c r="I1938" s="12"/>
      <c r="J1938" s="12"/>
      <c r="K1938" s="12"/>
      <c r="L1938" s="11"/>
      <c r="M1938" s="11"/>
      <c r="N1938" s="11"/>
      <c r="O1938" s="901"/>
      <c r="P1938" s="764"/>
      <c r="Q1938" s="650"/>
    </row>
    <row r="1939" spans="1:17" s="10" customFormat="1" ht="37.799999999999997">
      <c r="A1939" s="646"/>
      <c r="B1939" s="16"/>
      <c r="C1939" s="15"/>
      <c r="D1939" s="14"/>
      <c r="E1939" s="17"/>
      <c r="F1939" s="13"/>
      <c r="G1939" s="12"/>
      <c r="H1939" s="12"/>
      <c r="I1939" s="12"/>
      <c r="J1939" s="12"/>
      <c r="K1939" s="12"/>
      <c r="L1939" s="11"/>
      <c r="M1939" s="11"/>
      <c r="N1939" s="11"/>
      <c r="O1939" s="901"/>
      <c r="P1939" s="764"/>
      <c r="Q1939" s="650"/>
    </row>
    <row r="1940" spans="1:17" s="10" customFormat="1" ht="37.799999999999997">
      <c r="A1940" s="646"/>
      <c r="B1940" s="16"/>
      <c r="C1940" s="15"/>
      <c r="D1940" s="14"/>
      <c r="E1940" s="17"/>
      <c r="F1940" s="13"/>
      <c r="G1940" s="12"/>
      <c r="H1940" s="12"/>
      <c r="I1940" s="12"/>
      <c r="J1940" s="12"/>
      <c r="K1940" s="12"/>
      <c r="L1940" s="11"/>
      <c r="M1940" s="11"/>
      <c r="N1940" s="11"/>
      <c r="O1940" s="901"/>
      <c r="P1940" s="764"/>
      <c r="Q1940" s="650"/>
    </row>
    <row r="1941" spans="1:17" s="10" customFormat="1" ht="37.799999999999997">
      <c r="A1941" s="646"/>
      <c r="B1941" s="16"/>
      <c r="C1941" s="15"/>
      <c r="D1941" s="14"/>
      <c r="E1941" s="17"/>
      <c r="F1941" s="13"/>
      <c r="G1941" s="12"/>
      <c r="H1941" s="12"/>
      <c r="I1941" s="12"/>
      <c r="J1941" s="12"/>
      <c r="K1941" s="12"/>
      <c r="L1941" s="11"/>
      <c r="M1941" s="11"/>
      <c r="N1941" s="11"/>
      <c r="O1941" s="901"/>
      <c r="P1941" s="764"/>
      <c r="Q1941" s="650"/>
    </row>
    <row r="1942" spans="1:17" s="10" customFormat="1" ht="37.799999999999997">
      <c r="A1942" s="646"/>
      <c r="B1942" s="16"/>
      <c r="C1942" s="15"/>
      <c r="D1942" s="14"/>
      <c r="E1942" s="17"/>
      <c r="F1942" s="13"/>
      <c r="G1942" s="12"/>
      <c r="H1942" s="12"/>
      <c r="I1942" s="12"/>
      <c r="J1942" s="12"/>
      <c r="K1942" s="12"/>
      <c r="L1942" s="11"/>
      <c r="M1942" s="11"/>
      <c r="N1942" s="11"/>
      <c r="O1942" s="901"/>
      <c r="P1942" s="764"/>
      <c r="Q1942" s="650"/>
    </row>
    <row r="1943" spans="1:17" s="10" customFormat="1" ht="37.799999999999997">
      <c r="A1943" s="646"/>
      <c r="B1943" s="16"/>
      <c r="C1943" s="15"/>
      <c r="D1943" s="14"/>
      <c r="E1943" s="17"/>
      <c r="F1943" s="13"/>
      <c r="G1943" s="12"/>
      <c r="H1943" s="12"/>
      <c r="I1943" s="12"/>
      <c r="J1943" s="12"/>
      <c r="K1943" s="12"/>
      <c r="L1943" s="11"/>
      <c r="M1943" s="11"/>
      <c r="N1943" s="11"/>
      <c r="O1943" s="901"/>
      <c r="P1943" s="764"/>
      <c r="Q1943" s="650"/>
    </row>
    <row r="1944" spans="1:17" s="10" customFormat="1" ht="37.799999999999997">
      <c r="A1944" s="646"/>
      <c r="B1944" s="16"/>
      <c r="C1944" s="15"/>
      <c r="D1944" s="14"/>
      <c r="E1944" s="17"/>
      <c r="F1944" s="13"/>
      <c r="G1944" s="12"/>
      <c r="H1944" s="12"/>
      <c r="I1944" s="12"/>
      <c r="J1944" s="12"/>
      <c r="K1944" s="12"/>
      <c r="L1944" s="11"/>
      <c r="M1944" s="11"/>
      <c r="N1944" s="11"/>
      <c r="O1944" s="901"/>
      <c r="P1944" s="764"/>
      <c r="Q1944" s="650"/>
    </row>
    <row r="1945" spans="1:17" s="10" customFormat="1" ht="37.799999999999997">
      <c r="A1945" s="646"/>
      <c r="B1945" s="16"/>
      <c r="C1945" s="15"/>
      <c r="D1945" s="14"/>
      <c r="E1945" s="17"/>
      <c r="F1945" s="13"/>
      <c r="G1945" s="12"/>
      <c r="H1945" s="12"/>
      <c r="I1945" s="12"/>
      <c r="J1945" s="12"/>
      <c r="K1945" s="12"/>
      <c r="L1945" s="11"/>
      <c r="M1945" s="11"/>
      <c r="N1945" s="11"/>
      <c r="O1945" s="901"/>
      <c r="P1945" s="764"/>
      <c r="Q1945" s="650"/>
    </row>
    <row r="1946" spans="1:17" s="10" customFormat="1" ht="37.799999999999997">
      <c r="A1946" s="646"/>
      <c r="B1946" s="16"/>
      <c r="C1946" s="15"/>
      <c r="D1946" s="14"/>
      <c r="E1946" s="17"/>
      <c r="F1946" s="13"/>
      <c r="G1946" s="12"/>
      <c r="H1946" s="12"/>
      <c r="I1946" s="12"/>
      <c r="J1946" s="12"/>
      <c r="K1946" s="12"/>
      <c r="L1946" s="11"/>
      <c r="M1946" s="11"/>
      <c r="N1946" s="11"/>
      <c r="O1946" s="901"/>
      <c r="P1946" s="764"/>
      <c r="Q1946" s="650"/>
    </row>
    <row r="1947" spans="1:17" s="10" customFormat="1" ht="37.799999999999997">
      <c r="A1947" s="646"/>
      <c r="B1947" s="16"/>
      <c r="C1947" s="15"/>
      <c r="D1947" s="14"/>
      <c r="E1947" s="17"/>
      <c r="F1947" s="13"/>
      <c r="G1947" s="12"/>
      <c r="H1947" s="12"/>
      <c r="I1947" s="12"/>
      <c r="J1947" s="12"/>
      <c r="K1947" s="12"/>
      <c r="L1947" s="11"/>
      <c r="M1947" s="11"/>
      <c r="N1947" s="11"/>
      <c r="O1947" s="901"/>
      <c r="P1947" s="764"/>
      <c r="Q1947" s="650"/>
    </row>
    <row r="1948" spans="1:17" s="10" customFormat="1" ht="37.799999999999997">
      <c r="A1948" s="646"/>
      <c r="B1948" s="16"/>
      <c r="C1948" s="15"/>
      <c r="D1948" s="14"/>
      <c r="E1948" s="17"/>
      <c r="F1948" s="13"/>
      <c r="G1948" s="12"/>
      <c r="H1948" s="12"/>
      <c r="I1948" s="12"/>
      <c r="J1948" s="12"/>
      <c r="K1948" s="12"/>
      <c r="L1948" s="11"/>
      <c r="M1948" s="11"/>
      <c r="N1948" s="11"/>
      <c r="O1948" s="901"/>
      <c r="P1948" s="764"/>
      <c r="Q1948" s="650"/>
    </row>
    <row r="1949" spans="1:17" s="10" customFormat="1" ht="37.799999999999997">
      <c r="A1949" s="646"/>
      <c r="B1949" s="16"/>
      <c r="C1949" s="15"/>
      <c r="D1949" s="14"/>
      <c r="E1949" s="17"/>
      <c r="F1949" s="13"/>
      <c r="G1949" s="12"/>
      <c r="H1949" s="12"/>
      <c r="I1949" s="12"/>
      <c r="J1949" s="12"/>
      <c r="K1949" s="12"/>
      <c r="L1949" s="11"/>
      <c r="M1949" s="11"/>
      <c r="N1949" s="11"/>
      <c r="O1949" s="901"/>
      <c r="P1949" s="764"/>
      <c r="Q1949" s="650"/>
    </row>
    <row r="1950" spans="1:17" s="10" customFormat="1" ht="37.799999999999997">
      <c r="A1950" s="646"/>
      <c r="B1950" s="16"/>
      <c r="C1950" s="15"/>
      <c r="D1950" s="14"/>
      <c r="E1950" s="17"/>
      <c r="F1950" s="13"/>
      <c r="G1950" s="12"/>
      <c r="H1950" s="12"/>
      <c r="I1950" s="12"/>
      <c r="J1950" s="12"/>
      <c r="K1950" s="12"/>
      <c r="L1950" s="11"/>
      <c r="M1950" s="11"/>
      <c r="N1950" s="11"/>
      <c r="O1950" s="901"/>
      <c r="P1950" s="764"/>
      <c r="Q1950" s="650"/>
    </row>
    <row r="1951" spans="1:17" s="10" customFormat="1" ht="37.799999999999997">
      <c r="A1951" s="646"/>
      <c r="B1951" s="16"/>
      <c r="C1951" s="15"/>
      <c r="D1951" s="14"/>
      <c r="E1951" s="17"/>
      <c r="F1951" s="13"/>
      <c r="G1951" s="12"/>
      <c r="H1951" s="12"/>
      <c r="I1951" s="12"/>
      <c r="J1951" s="12"/>
      <c r="K1951" s="12"/>
      <c r="L1951" s="11"/>
      <c r="M1951" s="11"/>
      <c r="N1951" s="11"/>
      <c r="O1951" s="901"/>
      <c r="P1951" s="764"/>
      <c r="Q1951" s="650"/>
    </row>
    <row r="1952" spans="1:17" s="10" customFormat="1" ht="37.799999999999997">
      <c r="A1952" s="646"/>
      <c r="B1952" s="16"/>
      <c r="C1952" s="15"/>
      <c r="D1952" s="14"/>
      <c r="E1952" s="17"/>
      <c r="F1952" s="13"/>
      <c r="G1952" s="12"/>
      <c r="H1952" s="12"/>
      <c r="I1952" s="12"/>
      <c r="J1952" s="12"/>
      <c r="K1952" s="12"/>
      <c r="L1952" s="11"/>
      <c r="M1952" s="11"/>
      <c r="N1952" s="11"/>
      <c r="O1952" s="901"/>
      <c r="P1952" s="764"/>
      <c r="Q1952" s="650"/>
    </row>
    <row r="1953" spans="1:17" s="10" customFormat="1" ht="37.799999999999997">
      <c r="A1953" s="646"/>
      <c r="B1953" s="16"/>
      <c r="C1953" s="15"/>
      <c r="D1953" s="14"/>
      <c r="E1953" s="17"/>
      <c r="F1953" s="13"/>
      <c r="G1953" s="12"/>
      <c r="H1953" s="12"/>
      <c r="I1953" s="12"/>
      <c r="J1953" s="12"/>
      <c r="K1953" s="12"/>
      <c r="L1953" s="11"/>
      <c r="M1953" s="11"/>
      <c r="N1953" s="11"/>
      <c r="O1953" s="901"/>
      <c r="P1953" s="764"/>
      <c r="Q1953" s="650"/>
    </row>
    <row r="1954" spans="1:17" s="10" customFormat="1" ht="37.799999999999997">
      <c r="A1954" s="646"/>
      <c r="B1954" s="16"/>
      <c r="C1954" s="15"/>
      <c r="D1954" s="14"/>
      <c r="E1954" s="17"/>
      <c r="F1954" s="13"/>
      <c r="G1954" s="12"/>
      <c r="H1954" s="12"/>
      <c r="I1954" s="12"/>
      <c r="J1954" s="12"/>
      <c r="K1954" s="12"/>
      <c r="L1954" s="11"/>
      <c r="M1954" s="11"/>
      <c r="N1954" s="11"/>
      <c r="O1954" s="901"/>
      <c r="P1954" s="764"/>
      <c r="Q1954" s="650"/>
    </row>
    <row r="1955" spans="1:17" s="10" customFormat="1" ht="37.799999999999997">
      <c r="A1955" s="646"/>
      <c r="B1955" s="16"/>
      <c r="C1955" s="15"/>
      <c r="D1955" s="14"/>
      <c r="E1955" s="17"/>
      <c r="F1955" s="13"/>
      <c r="G1955" s="12"/>
      <c r="H1955" s="12"/>
      <c r="I1955" s="12"/>
      <c r="J1955" s="12"/>
      <c r="K1955" s="12"/>
      <c r="L1955" s="11"/>
      <c r="M1955" s="11"/>
      <c r="N1955" s="11"/>
      <c r="O1955" s="901"/>
      <c r="P1955" s="764"/>
      <c r="Q1955" s="650"/>
    </row>
    <row r="1956" spans="1:17" s="10" customFormat="1" ht="37.799999999999997">
      <c r="A1956" s="646"/>
      <c r="B1956" s="16"/>
      <c r="C1956" s="15"/>
      <c r="D1956" s="14"/>
      <c r="E1956" s="17"/>
      <c r="F1956" s="13"/>
      <c r="G1956" s="12"/>
      <c r="H1956" s="12"/>
      <c r="I1956" s="12"/>
      <c r="J1956" s="12"/>
      <c r="K1956" s="12"/>
      <c r="L1956" s="11"/>
      <c r="M1956" s="11"/>
      <c r="N1956" s="11"/>
      <c r="O1956" s="901"/>
      <c r="P1956" s="764"/>
      <c r="Q1956" s="650"/>
    </row>
    <row r="1957" spans="1:17" s="10" customFormat="1" ht="37.799999999999997">
      <c r="A1957" s="646"/>
      <c r="B1957" s="16"/>
      <c r="C1957" s="15"/>
      <c r="D1957" s="14"/>
      <c r="E1957" s="17"/>
      <c r="F1957" s="13"/>
      <c r="G1957" s="12"/>
      <c r="H1957" s="12"/>
      <c r="I1957" s="12"/>
      <c r="J1957" s="12"/>
      <c r="K1957" s="12"/>
      <c r="L1957" s="11"/>
      <c r="M1957" s="11"/>
      <c r="N1957" s="11"/>
      <c r="O1957" s="901"/>
      <c r="P1957" s="764"/>
      <c r="Q1957" s="650"/>
    </row>
    <row r="1958" spans="1:17" s="10" customFormat="1" ht="37.799999999999997">
      <c r="A1958" s="646"/>
      <c r="B1958" s="16"/>
      <c r="C1958" s="15"/>
      <c r="D1958" s="14"/>
      <c r="E1958" s="17"/>
      <c r="F1958" s="13"/>
      <c r="G1958" s="12"/>
      <c r="H1958" s="12"/>
      <c r="I1958" s="12"/>
      <c r="J1958" s="12"/>
      <c r="K1958" s="12"/>
      <c r="L1958" s="11"/>
      <c r="M1958" s="11"/>
      <c r="N1958" s="11"/>
      <c r="O1958" s="901"/>
      <c r="P1958" s="764"/>
      <c r="Q1958" s="650"/>
    </row>
    <row r="1959" spans="1:17" s="10" customFormat="1" ht="37.799999999999997">
      <c r="A1959" s="646"/>
      <c r="B1959" s="16"/>
      <c r="C1959" s="15"/>
      <c r="D1959" s="14"/>
      <c r="E1959" s="17"/>
      <c r="F1959" s="13"/>
      <c r="G1959" s="12"/>
      <c r="H1959" s="12"/>
      <c r="I1959" s="12"/>
      <c r="J1959" s="12"/>
      <c r="K1959" s="12"/>
      <c r="L1959" s="11"/>
      <c r="M1959" s="11"/>
      <c r="N1959" s="11"/>
      <c r="O1959" s="901"/>
      <c r="P1959" s="764"/>
      <c r="Q1959" s="650"/>
    </row>
    <row r="1960" spans="1:17" s="10" customFormat="1" ht="37.799999999999997">
      <c r="A1960" s="646"/>
      <c r="B1960" s="16"/>
      <c r="C1960" s="15"/>
      <c r="D1960" s="14"/>
      <c r="E1960" s="5"/>
      <c r="F1960" s="13"/>
      <c r="G1960" s="12"/>
      <c r="H1960" s="12"/>
      <c r="I1960" s="12"/>
      <c r="J1960" s="12"/>
      <c r="K1960" s="12"/>
      <c r="L1960" s="11"/>
      <c r="M1960" s="11"/>
      <c r="N1960" s="11"/>
      <c r="O1960" s="901"/>
      <c r="P1960" s="764"/>
      <c r="Q1960" s="650"/>
    </row>
    <row r="1961" spans="1:17" s="10" customFormat="1" ht="37.799999999999997">
      <c r="A1961" s="646"/>
      <c r="B1961" s="16"/>
      <c r="C1961" s="15"/>
      <c r="D1961" s="14"/>
      <c r="E1961" s="5"/>
      <c r="F1961" s="13"/>
      <c r="G1961" s="12"/>
      <c r="H1961" s="12"/>
      <c r="I1961" s="12"/>
      <c r="J1961" s="12"/>
      <c r="K1961" s="12"/>
      <c r="L1961" s="11"/>
      <c r="M1961" s="11"/>
      <c r="N1961" s="11"/>
      <c r="O1961" s="901"/>
      <c r="P1961" s="764"/>
      <c r="Q1961" s="650"/>
    </row>
    <row r="1962" spans="1:17" s="10" customFormat="1" ht="37.799999999999997">
      <c r="A1962" s="646"/>
      <c r="B1962" s="16"/>
      <c r="C1962" s="15"/>
      <c r="D1962" s="14"/>
      <c r="E1962" s="5"/>
      <c r="F1962" s="13"/>
      <c r="G1962" s="12"/>
      <c r="H1962" s="12"/>
      <c r="I1962" s="12"/>
      <c r="J1962" s="12"/>
      <c r="K1962" s="12"/>
      <c r="L1962" s="11"/>
      <c r="M1962" s="11"/>
      <c r="N1962" s="11"/>
      <c r="O1962" s="901"/>
      <c r="P1962" s="764"/>
      <c r="Q1962" s="650"/>
    </row>
    <row r="1963" spans="1:17" s="10" customFormat="1" ht="37.799999999999997">
      <c r="A1963" s="646"/>
      <c r="B1963" s="16"/>
      <c r="C1963" s="15"/>
      <c r="D1963" s="14"/>
      <c r="E1963" s="5"/>
      <c r="F1963" s="13"/>
      <c r="G1963" s="12"/>
      <c r="H1963" s="12"/>
      <c r="I1963" s="12"/>
      <c r="J1963" s="12"/>
      <c r="K1963" s="12"/>
      <c r="L1963" s="11"/>
      <c r="M1963" s="11"/>
      <c r="N1963" s="11"/>
      <c r="O1963" s="901"/>
      <c r="P1963" s="764"/>
      <c r="Q1963" s="650"/>
    </row>
    <row r="1964" spans="1:17" s="10" customFormat="1" ht="37.799999999999997">
      <c r="A1964" s="646"/>
      <c r="B1964" s="16"/>
      <c r="C1964" s="15"/>
      <c r="D1964" s="14"/>
      <c r="E1964" s="5"/>
      <c r="F1964" s="13"/>
      <c r="G1964" s="12"/>
      <c r="H1964" s="12"/>
      <c r="I1964" s="12"/>
      <c r="J1964" s="12"/>
      <c r="K1964" s="12"/>
      <c r="L1964" s="11"/>
      <c r="M1964" s="11"/>
      <c r="N1964" s="11"/>
      <c r="O1964" s="901"/>
      <c r="P1964" s="764"/>
      <c r="Q1964" s="650"/>
    </row>
    <row r="1965" spans="1:17">
      <c r="F1965" s="9"/>
    </row>
    <row r="1966" spans="1:17">
      <c r="F1966" s="9"/>
    </row>
  </sheetData>
  <mergeCells count="138">
    <mergeCell ref="E193:M193"/>
    <mergeCell ref="E194:M194"/>
    <mergeCell ref="E195:M195"/>
    <mergeCell ref="E196:M196"/>
    <mergeCell ref="E197:M197"/>
    <mergeCell ref="E184:M184"/>
    <mergeCell ref="E185:M185"/>
    <mergeCell ref="E186:M186"/>
    <mergeCell ref="E187:M187"/>
    <mergeCell ref="E188:M188"/>
    <mergeCell ref="E189:M189"/>
    <mergeCell ref="E190:M190"/>
    <mergeCell ref="E191:M191"/>
    <mergeCell ref="E192:M192"/>
    <mergeCell ref="E172:M172"/>
    <mergeCell ref="E173:M173"/>
    <mergeCell ref="E174:M174"/>
    <mergeCell ref="E175:M175"/>
    <mergeCell ref="E176:M176"/>
    <mergeCell ref="E177:M177"/>
    <mergeCell ref="E178:M178"/>
    <mergeCell ref="E171:M171"/>
    <mergeCell ref="E179:M179"/>
    <mergeCell ref="E260:O260"/>
    <mergeCell ref="E243:O243"/>
    <mergeCell ref="E244:O244"/>
    <mergeCell ref="E245:O245"/>
    <mergeCell ref="E180:M180"/>
    <mergeCell ref="E181:M181"/>
    <mergeCell ref="E182:M182"/>
    <mergeCell ref="E183:M183"/>
    <mergeCell ref="E17:O17"/>
    <mergeCell ref="E1418:O1418"/>
    <mergeCell ref="E1421:O1421"/>
    <mergeCell ref="E1486:O1486"/>
    <mergeCell ref="E1435:O1435"/>
    <mergeCell ref="E1426:O1426"/>
    <mergeCell ref="E1431:O1431"/>
    <mergeCell ref="E1448:O1448"/>
    <mergeCell ref="E1449:O1449"/>
    <mergeCell ref="E1451:O1451"/>
    <mergeCell ref="E1428:O1428"/>
    <mergeCell ref="E1459:O1459"/>
    <mergeCell ref="E1438:O1438"/>
    <mergeCell ref="E1440:O1440"/>
    <mergeCell ref="E1442:O1442"/>
    <mergeCell ref="E1443:O1443"/>
    <mergeCell ref="E1444:O1444"/>
    <mergeCell ref="E1445:O1445"/>
    <mergeCell ref="E1439:O1439"/>
    <mergeCell ref="E1441:O1441"/>
    <mergeCell ref="E1437:O1437"/>
    <mergeCell ref="A1:A2"/>
    <mergeCell ref="E9:O9"/>
    <mergeCell ref="E6:O6"/>
    <mergeCell ref="E21:O21"/>
    <mergeCell ref="E65:O65"/>
    <mergeCell ref="E67:O67"/>
    <mergeCell ref="E69:O69"/>
    <mergeCell ref="E71:O71"/>
    <mergeCell ref="E73:O73"/>
    <mergeCell ref="E95:O95"/>
    <mergeCell ref="E102:O102"/>
    <mergeCell ref="E77:O77"/>
    <mergeCell ref="N1:N2"/>
    <mergeCell ref="O1:O2"/>
    <mergeCell ref="C1:E2"/>
    <mergeCell ref="F1:L2"/>
    <mergeCell ref="M1:M2"/>
    <mergeCell ref="E13:O13"/>
    <mergeCell ref="E15:O15"/>
    <mergeCell ref="E23:O23"/>
    <mergeCell ref="E1821:O1821"/>
    <mergeCell ref="E1829:O1829"/>
    <mergeCell ref="E1646:O1646"/>
    <mergeCell ref="E1446:L1446"/>
    <mergeCell ref="E1809:O1809"/>
    <mergeCell ref="E1814:O1814"/>
    <mergeCell ref="E1501:O1501"/>
    <mergeCell ref="E1503:O1503"/>
    <mergeCell ref="E1770:O1770"/>
    <mergeCell ref="E1772:O1772"/>
    <mergeCell ref="E1774:O1774"/>
    <mergeCell ref="E1756:O1756"/>
    <mergeCell ref="E1761:O1761"/>
    <mergeCell ref="E1764:O1764"/>
    <mergeCell ref="E1766:O1766"/>
    <mergeCell ref="E1768:O1768"/>
    <mergeCell ref="E1735:O1735"/>
    <mergeCell ref="E1740:O1740"/>
    <mergeCell ref="E1742:O1742"/>
    <mergeCell ref="E1745:O1745"/>
    <mergeCell ref="E1754:O1754"/>
    <mergeCell ref="E1751:O1751"/>
    <mergeCell ref="E1807:O1807"/>
    <mergeCell ref="E1419:O1419"/>
    <mergeCell ref="E1810:O1810"/>
    <mergeCell ref="E19:O19"/>
    <mergeCell ref="E53:O53"/>
    <mergeCell ref="E114:O114"/>
    <mergeCell ref="E119:O119"/>
    <mergeCell ref="E121:O121"/>
    <mergeCell ref="E123:O123"/>
    <mergeCell ref="E125:O125"/>
    <mergeCell ref="E91:O91"/>
    <mergeCell ref="E97:O97"/>
    <mergeCell ref="E99:O99"/>
    <mergeCell ref="E111:O111"/>
    <mergeCell ref="E79:O79"/>
    <mergeCell ref="E81:O81"/>
    <mergeCell ref="E83:O83"/>
    <mergeCell ref="E85:O85"/>
    <mergeCell ref="E87:O87"/>
    <mergeCell ref="E292:O292"/>
    <mergeCell ref="E258:O258"/>
    <mergeCell ref="E25:O25"/>
    <mergeCell ref="E27:O27"/>
    <mergeCell ref="E29:O29"/>
    <mergeCell ref="E31:O31"/>
    <mergeCell ref="E33:O33"/>
    <mergeCell ref="E35:O35"/>
    <mergeCell ref="E37:O37"/>
    <mergeCell ref="E39:O39"/>
    <mergeCell ref="E41:O41"/>
    <mergeCell ref="E93:O93"/>
    <mergeCell ref="E105:O105"/>
    <mergeCell ref="E109:O109"/>
    <mergeCell ref="E127:O127"/>
    <mergeCell ref="E148:O148"/>
    <mergeCell ref="E43:O43"/>
    <mergeCell ref="E45:O45"/>
    <mergeCell ref="E47:O47"/>
    <mergeCell ref="E49:O49"/>
    <mergeCell ref="E51:O51"/>
    <mergeCell ref="E55:O55"/>
    <mergeCell ref="E57:O57"/>
    <mergeCell ref="E59:O59"/>
    <mergeCell ref="E63:O63"/>
  </mergeCells>
  <printOptions horizontalCentered="1"/>
  <pageMargins left="0.59055118110236227" right="0.59055118110236227" top="1.1811023622047245" bottom="0.59055118110236227" header="0.59055118110236227" footer="0.31496062992125984"/>
  <pageSetup paperSize="9" scale="10" firstPageNumber="0" fitToHeight="100" orientation="portrait" horizontalDpi="4294967295" verticalDpi="4294967295" r:id="rId1"/>
  <headerFooter alignWithMargins="0">
    <oddHeader>&amp;C&amp;"+,Kursywa"&amp;26Materiał opisowy obejmujący omówienie wydatków bieżących i majątkowych za I półrocze 2018 roku</oddHeader>
    <oddFooter>&amp;C&amp;"Arial CE,Kursywa"&amp;22&amp;P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Objaśnienia 2018</vt:lpstr>
      <vt:lpstr>'Objaśnienia 2018'!Tytuły_wydruku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 Brońska</dc:creator>
  <cp:lastModifiedBy>Renata Brońska</cp:lastModifiedBy>
  <cp:lastPrinted>2018-08-28T10:21:41Z</cp:lastPrinted>
  <dcterms:created xsi:type="dcterms:W3CDTF">2012-09-18T07:18:11Z</dcterms:created>
  <dcterms:modified xsi:type="dcterms:W3CDTF">2018-08-28T10:55:02Z</dcterms:modified>
</cp:coreProperties>
</file>