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R:\FINANS\archiwum\BUDŻET\SPRAWOZDANIA 2020\Sprawozdanie I półrocze 2020 roku\"/>
    </mc:Choice>
  </mc:AlternateContent>
  <xr:revisionPtr revIDLastSave="0" documentId="13_ncr:1_{64BAC8D3-8670-40DF-8BE6-2ED6B15FCED4}" xr6:coauthVersionLast="45" xr6:coauthVersionMax="45" xr10:uidLastSave="{00000000-0000-0000-0000-000000000000}"/>
  <bookViews>
    <workbookView xWindow="-108" yWindow="-108" windowWidth="23256" windowHeight="12576" tabRatio="604" xr2:uid="{00000000-000D-0000-FFFF-FFFF00000000}"/>
  </bookViews>
  <sheets>
    <sheet name="Objaśnienia 2020 rok" sheetId="1" r:id="rId1"/>
  </sheets>
  <externalReferences>
    <externalReference r:id="rId2"/>
    <externalReference r:id="rId3"/>
    <externalReference r:id="rId4"/>
    <externalReference r:id="rId5"/>
  </externalReferences>
  <definedNames>
    <definedName name="beata">[1]Dochody!#REF!</definedName>
    <definedName name="beata_3">[2]Dochody!#REF!</definedName>
    <definedName name="beata_4">[2]Dochody!#REF!</definedName>
    <definedName name="beata_6">[2]Dochody!#REF!</definedName>
    <definedName name="BIUL_DOCH_">#REF!</definedName>
    <definedName name="BIUL_DOCH__3">[2]Dochody!#REF!</definedName>
    <definedName name="BIUL_DOCH__4">[2]Dochody!#REF!</definedName>
    <definedName name="BIUL_DOCH__6">[2]Dochody!#REF!</definedName>
    <definedName name="BIUL_DOCHODY">#REF!</definedName>
    <definedName name="BIUL_DOCHODY_3">[2]Dochody!#REF!</definedName>
    <definedName name="BIUL_DOCHODY_4">[2]Dochody!#REF!</definedName>
    <definedName name="BIUL_DOCHODY_6">[2]Dochody!#REF!</definedName>
    <definedName name="BIUL_WYD_">#REF!</definedName>
    <definedName name="BIUL_WYDATKI">#REF!</definedName>
    <definedName name="DOCHODY">#REF!</definedName>
    <definedName name="DOCHODY_BEZ_TYT">#REF!</definedName>
    <definedName name="DOCHODY_DZIAŁY">#REF!</definedName>
    <definedName name="DOCHODY_DZIAŁY_3">[2]Dochody!#REF!</definedName>
    <definedName name="DOCHODY_DZIAŁY_4">[2]Dochody!#REF!</definedName>
    <definedName name="DOCHODY_DZIAŁY_6">[2]Dochody!#REF!</definedName>
    <definedName name="INFORMACJA_00">#REF!</definedName>
    <definedName name="mmmmmmmmmmmm">[3]Dochody!#REF!</definedName>
    <definedName name="renata">[1]Dochody!$A$3:$D$115</definedName>
    <definedName name="renata_3">[2]Dochody!$A$3:$D$115</definedName>
    <definedName name="renata_4">[2]Dochody!$A$3:$D$115</definedName>
    <definedName name="renata_6">[2]Dochody!$A$3:$D$115</definedName>
    <definedName name="rrr">[1]Dochody!$A$1:$D$115</definedName>
    <definedName name="rrr_3">[2]Dochody!$A$1:$D$115</definedName>
    <definedName name="rrr_4">[2]Dochody!$A$1:$D$115</definedName>
    <definedName name="rrr_6">[2]Dochody!$A$1:$D$115</definedName>
    <definedName name="rrrrrr">[1]Dochody!#REF!</definedName>
    <definedName name="rrrrrr_3">[2]Dochody!#REF!</definedName>
    <definedName name="rrrrrr_4">[2]Dochody!#REF!</definedName>
    <definedName name="rrrrrr_6">[2]Dochody!#REF!</definedName>
    <definedName name="_xlnm.Print_Titles" localSheetId="0">'Objaśnienia 2020 rok'!$1:$2</definedName>
    <definedName name="WYDATKI_BEZ_TYT">#REF!</definedName>
    <definedName name="WYDATKI_DZIAŁY">#REF!</definedName>
    <definedName name="WYDRUK_WYDATKI">#REF!</definedName>
  </definedNames>
  <calcPr calcId="181029"/>
  <fileRecoveryPr autoRecover="0"/>
</workbook>
</file>

<file path=xl/calcChain.xml><?xml version="1.0" encoding="utf-8"?>
<calcChain xmlns="http://schemas.openxmlformats.org/spreadsheetml/2006/main">
  <c r="N1827" i="1" l="1"/>
  <c r="M1827" i="1"/>
  <c r="K1830" i="1"/>
  <c r="K1829" i="1"/>
  <c r="N1806" i="1"/>
  <c r="M1810" i="1"/>
  <c r="M1806" i="1" s="1"/>
  <c r="K1811" i="1"/>
  <c r="K1810" i="1"/>
  <c r="N1711" i="1"/>
  <c r="M1713" i="1"/>
  <c r="M1714" i="1"/>
  <c r="K1714" i="1"/>
  <c r="K1713" i="1"/>
  <c r="M1711" i="1" l="1"/>
  <c r="M1850" i="1"/>
  <c r="O1854" i="1"/>
  <c r="O1853" i="1"/>
  <c r="N1851" i="1"/>
  <c r="N1850" i="1" s="1"/>
  <c r="O191" i="1"/>
  <c r="O192" i="1"/>
  <c r="O183" i="1"/>
  <c r="O184" i="1"/>
  <c r="O186" i="1"/>
  <c r="O1850" i="1" l="1"/>
  <c r="O1851" i="1"/>
  <c r="M1668" i="1"/>
  <c r="N1668" i="1"/>
  <c r="O1668" i="1" s="1"/>
  <c r="O1670" i="1"/>
  <c r="O1671" i="1"/>
  <c r="O1669" i="1"/>
  <c r="K1671" i="1"/>
  <c r="N1573" i="1"/>
  <c r="M1573" i="1"/>
  <c r="O1575" i="1"/>
  <c r="O1576" i="1"/>
  <c r="O1574" i="1"/>
  <c r="O1573" i="1" l="1"/>
  <c r="N656" i="1"/>
  <c r="O1319" i="1"/>
  <c r="O1318" i="1"/>
  <c r="O1315" i="1"/>
  <c r="N1307" i="1"/>
  <c r="M1307" i="1"/>
  <c r="N1303" i="1"/>
  <c r="M1303" i="1"/>
  <c r="N1295" i="1"/>
  <c r="N1294" i="1" s="1"/>
  <c r="M1295" i="1"/>
  <c r="M1294" i="1" s="1"/>
  <c r="O1293" i="1"/>
  <c r="O1202" i="1"/>
  <c r="O1203" i="1"/>
  <c r="O1204" i="1"/>
  <c r="O1201" i="1"/>
  <c r="N749" i="1"/>
  <c r="M749" i="1"/>
  <c r="M615" i="1"/>
  <c r="O748" i="1"/>
  <c r="O747" i="1"/>
  <c r="O746" i="1"/>
  <c r="O745" i="1"/>
  <c r="O744" i="1"/>
  <c r="O481" i="1"/>
  <c r="O471" i="1"/>
  <c r="O470" i="1"/>
  <c r="M380" i="1"/>
  <c r="N378" i="1"/>
  <c r="N377" i="1" s="1"/>
  <c r="M379" i="1"/>
  <c r="N375" i="1"/>
  <c r="N374" i="1" s="1"/>
  <c r="M375" i="1"/>
  <c r="M374" i="1" s="1"/>
  <c r="O376" i="1"/>
  <c r="N364" i="1"/>
  <c r="N338" i="1"/>
  <c r="M338" i="1"/>
  <c r="N325" i="1"/>
  <c r="N311" i="1"/>
  <c r="N187" i="1"/>
  <c r="N179" i="1"/>
  <c r="M193" i="1"/>
  <c r="O193" i="1" s="1"/>
  <c r="M190" i="1"/>
  <c r="O190" i="1" s="1"/>
  <c r="M189" i="1"/>
  <c r="M185" i="1"/>
  <c r="O185" i="1" s="1"/>
  <c r="M182" i="1"/>
  <c r="O182" i="1" s="1"/>
  <c r="M181" i="1"/>
  <c r="M378" i="1" l="1"/>
  <c r="M377" i="1" s="1"/>
  <c r="O377" i="1" s="1"/>
  <c r="O1303" i="1"/>
  <c r="O374" i="1"/>
  <c r="O1307" i="1"/>
  <c r="O375" i="1"/>
  <c r="N178" i="1"/>
  <c r="M187" i="1"/>
  <c r="O187" i="1" s="1"/>
  <c r="O189" i="1"/>
  <c r="M179" i="1"/>
  <c r="O181" i="1"/>
  <c r="O1295" i="1"/>
  <c r="M178" i="1" l="1"/>
  <c r="O178" i="1" s="1"/>
  <c r="O179" i="1"/>
  <c r="O173" i="1"/>
  <c r="O326" i="1" l="1"/>
  <c r="N1840" i="1"/>
  <c r="M1840" i="1"/>
  <c r="O1844" i="1"/>
  <c r="O1821" i="1"/>
  <c r="O1819" i="1"/>
  <c r="O1794" i="1"/>
  <c r="O1790" i="1"/>
  <c r="O1788" i="1"/>
  <c r="N1785" i="1"/>
  <c r="M1785" i="1"/>
  <c r="O1786" i="1"/>
  <c r="N1770" i="1"/>
  <c r="M1770" i="1"/>
  <c r="O1773" i="1"/>
  <c r="O1772" i="1"/>
  <c r="O1481" i="1"/>
  <c r="N1345" i="1"/>
  <c r="N1327" i="1" s="1"/>
  <c r="N1323" i="1"/>
  <c r="M1323" i="1"/>
  <c r="O1357" i="1"/>
  <c r="O1355" i="1"/>
  <c r="O1353" i="1"/>
  <c r="O1351" i="1"/>
  <c r="O1343" i="1"/>
  <c r="O1342" i="1"/>
  <c r="O1840" i="1" l="1"/>
  <c r="O1785" i="1"/>
  <c r="O1770" i="1"/>
  <c r="N1322" i="1"/>
  <c r="O1323" i="1"/>
  <c r="O1328" i="1" l="1"/>
  <c r="O1324" i="1"/>
  <c r="N1732" i="1" l="1"/>
  <c r="M1732" i="1"/>
  <c r="O1755" i="1"/>
  <c r="O1751" i="1"/>
  <c r="O1749" i="1"/>
  <c r="O1745" i="1"/>
  <c r="O1743" i="1"/>
  <c r="O1741" i="1"/>
  <c r="O1739" i="1"/>
  <c r="O1737" i="1"/>
  <c r="O1735" i="1"/>
  <c r="O1733" i="1"/>
  <c r="N1729" i="1"/>
  <c r="M1729" i="1"/>
  <c r="O1730" i="1"/>
  <c r="N1718" i="1"/>
  <c r="M1718" i="1"/>
  <c r="O1725" i="1"/>
  <c r="O1723" i="1"/>
  <c r="O1719" i="1"/>
  <c r="O1704" i="1"/>
  <c r="N1710" i="1"/>
  <c r="N1691" i="1" s="1"/>
  <c r="M1710" i="1"/>
  <c r="O1705" i="1"/>
  <c r="O1698" i="1"/>
  <c r="O1695" i="1"/>
  <c r="O1692" i="1"/>
  <c r="N1686" i="1"/>
  <c r="M1686" i="1"/>
  <c r="O1687" i="1"/>
  <c r="O1710" i="1" l="1"/>
  <c r="O1686" i="1"/>
  <c r="O1732" i="1"/>
  <c r="O1718" i="1"/>
  <c r="M1691" i="1"/>
  <c r="N1675" i="1"/>
  <c r="M1675" i="1"/>
  <c r="O1676" i="1"/>
  <c r="N297" i="1"/>
  <c r="M297" i="1"/>
  <c r="M293" i="1" s="1"/>
  <c r="O308" i="1"/>
  <c r="N159" i="1"/>
  <c r="M159" i="1"/>
  <c r="O160" i="1"/>
  <c r="M82" i="1"/>
  <c r="N100" i="1"/>
  <c r="N81" i="1" s="1"/>
  <c r="M100" i="1"/>
  <c r="O92" i="1"/>
  <c r="O82" i="1"/>
  <c r="N30" i="1"/>
  <c r="O30" i="1" s="1"/>
  <c r="N25" i="1"/>
  <c r="M25" i="1"/>
  <c r="O73" i="1"/>
  <c r="O71" i="1"/>
  <c r="O23" i="1"/>
  <c r="O21" i="1"/>
  <c r="O19" i="1"/>
  <c r="O17" i="1"/>
  <c r="O15" i="1"/>
  <c r="N11" i="1"/>
  <c r="M11" i="1"/>
  <c r="O12" i="1"/>
  <c r="M81" i="1" l="1"/>
  <c r="O1675" i="1"/>
  <c r="N1674" i="1"/>
  <c r="O1691" i="1"/>
  <c r="M1674" i="1"/>
  <c r="O25" i="1"/>
  <c r="O81" i="1"/>
  <c r="O159" i="1"/>
  <c r="O297" i="1"/>
  <c r="O100" i="1"/>
  <c r="O11" i="1"/>
  <c r="N293" i="1"/>
  <c r="O293" i="1" s="1"/>
  <c r="O1674" i="1" l="1"/>
  <c r="N313" i="1"/>
  <c r="N310" i="1" s="1"/>
  <c r="M313" i="1"/>
  <c r="O314" i="1"/>
  <c r="K313" i="1"/>
  <c r="J313" i="1"/>
  <c r="I313" i="1"/>
  <c r="H313" i="1"/>
  <c r="G313" i="1"/>
  <c r="F313" i="1"/>
  <c r="N254" i="1"/>
  <c r="O254" i="1" s="1"/>
  <c r="M216" i="1"/>
  <c r="O259" i="1"/>
  <c r="O258" i="1"/>
  <c r="O256" i="1"/>
  <c r="O257" i="1"/>
  <c r="O255" i="1"/>
  <c r="O253" i="1"/>
  <c r="O252" i="1"/>
  <c r="O251" i="1"/>
  <c r="O250" i="1"/>
  <c r="O249" i="1"/>
  <c r="O248" i="1"/>
  <c r="N217" i="1"/>
  <c r="O217" i="1" s="1"/>
  <c r="M208" i="1"/>
  <c r="N208" i="1"/>
  <c r="L208" i="1"/>
  <c r="O214" i="1"/>
  <c r="O213" i="1"/>
  <c r="O212" i="1"/>
  <c r="O211" i="1"/>
  <c r="O210" i="1"/>
  <c r="K208" i="1"/>
  <c r="K207" i="1" s="1"/>
  <c r="J194" i="1"/>
  <c r="I194" i="1"/>
  <c r="H194" i="1"/>
  <c r="G194" i="1"/>
  <c r="F194" i="1"/>
  <c r="N174" i="1"/>
  <c r="N173" i="1" s="1"/>
  <c r="M174" i="1"/>
  <c r="M173" i="1" s="1"/>
  <c r="O313" i="1" l="1"/>
  <c r="N216" i="1"/>
  <c r="N207" i="1" s="1"/>
  <c r="N206" i="1" s="1"/>
  <c r="L313" i="1"/>
  <c r="M207" i="1"/>
  <c r="M206" i="1" s="1"/>
  <c r="O208" i="1"/>
  <c r="O216" i="1" l="1"/>
  <c r="O206" i="1"/>
  <c r="O307" i="1"/>
  <c r="O372" i="1"/>
  <c r="N344" i="1"/>
  <c r="N343" i="1" s="1"/>
  <c r="O363" i="1"/>
  <c r="O362" i="1"/>
  <c r="O351" i="1"/>
  <c r="L344" i="1"/>
  <c r="M350" i="1"/>
  <c r="O350" i="1" s="1"/>
  <c r="M347" i="1"/>
  <c r="O347" i="1" s="1"/>
  <c r="O349" i="1"/>
  <c r="O348" i="1"/>
  <c r="O346" i="1"/>
  <c r="O1806" i="1"/>
  <c r="O294" i="1"/>
  <c r="M260" i="1"/>
  <c r="N261" i="1"/>
  <c r="N260" i="1" s="1"/>
  <c r="O260" i="1" l="1"/>
  <c r="M344" i="1"/>
  <c r="M343" i="1" s="1"/>
  <c r="O343" i="1" s="1"/>
  <c r="O261" i="1"/>
  <c r="O344" i="1" l="1"/>
  <c r="O170" i="1"/>
  <c r="O168" i="1"/>
  <c r="O166" i="1"/>
  <c r="O164" i="1"/>
  <c r="O162" i="1"/>
  <c r="N154" i="1"/>
  <c r="M154" i="1"/>
  <c r="O155" i="1"/>
  <c r="N145" i="1"/>
  <c r="M145" i="1"/>
  <c r="O150" i="1"/>
  <c r="N135" i="1"/>
  <c r="O140" i="1"/>
  <c r="O138" i="1"/>
  <c r="N115" i="1"/>
  <c r="M115" i="1"/>
  <c r="O117" i="1"/>
  <c r="N111" i="1"/>
  <c r="O109" i="1"/>
  <c r="O107" i="1"/>
  <c r="O103" i="1"/>
  <c r="M144" i="1" l="1"/>
  <c r="N144" i="1"/>
  <c r="N102" i="1"/>
  <c r="N101" i="1" s="1"/>
  <c r="O154" i="1"/>
  <c r="O115" i="1"/>
  <c r="O145" i="1"/>
  <c r="O1667" i="1"/>
  <c r="K1667" i="1"/>
  <c r="J1667" i="1"/>
  <c r="I1667" i="1"/>
  <c r="H1667" i="1"/>
  <c r="G1667" i="1"/>
  <c r="O1666" i="1"/>
  <c r="N1663" i="1"/>
  <c r="M1663" i="1"/>
  <c r="L1663" i="1"/>
  <c r="F1663" i="1"/>
  <c r="O1661" i="1"/>
  <c r="O1660" i="1"/>
  <c r="N1658" i="1"/>
  <c r="M1658" i="1"/>
  <c r="L1658" i="1"/>
  <c r="K1658" i="1"/>
  <c r="J1658" i="1"/>
  <c r="I1658" i="1"/>
  <c r="H1658" i="1"/>
  <c r="G1658" i="1"/>
  <c r="F1658" i="1"/>
  <c r="M1650" i="1"/>
  <c r="N1650" i="1"/>
  <c r="L1650" i="1"/>
  <c r="O1656" i="1"/>
  <c r="O1655" i="1"/>
  <c r="O1653" i="1"/>
  <c r="O1652" i="1"/>
  <c r="O1651" i="1"/>
  <c r="L1647" i="1"/>
  <c r="O1648" i="1"/>
  <c r="N1647" i="1"/>
  <c r="M1647" i="1"/>
  <c r="K1647" i="1"/>
  <c r="J1647" i="1"/>
  <c r="I1647" i="1"/>
  <c r="H1647" i="1"/>
  <c r="G1647" i="1"/>
  <c r="F1647" i="1"/>
  <c r="N1646" i="1"/>
  <c r="M1646" i="1"/>
  <c r="O1645" i="1"/>
  <c r="O1644" i="1"/>
  <c r="N1642" i="1"/>
  <c r="N1641" i="1" s="1"/>
  <c r="M1642" i="1"/>
  <c r="M1641" i="1" s="1"/>
  <c r="L1642" i="1"/>
  <c r="L1641" i="1" s="1"/>
  <c r="K1642" i="1"/>
  <c r="J1642" i="1"/>
  <c r="I1642" i="1"/>
  <c r="H1642" i="1"/>
  <c r="G1642" i="1"/>
  <c r="F1642" i="1"/>
  <c r="M1632" i="1"/>
  <c r="N1632" i="1"/>
  <c r="L1632" i="1"/>
  <c r="N1612" i="1"/>
  <c r="N1608" i="1" s="1"/>
  <c r="M1612" i="1"/>
  <c r="M1608" i="1" s="1"/>
  <c r="L1612" i="1"/>
  <c r="L1608" i="1" s="1"/>
  <c r="O1640" i="1"/>
  <c r="O1639" i="1"/>
  <c r="O1638" i="1"/>
  <c r="O1634" i="1"/>
  <c r="F1632" i="1"/>
  <c r="N1613" i="1"/>
  <c r="O1613" i="1" s="1"/>
  <c r="K1613" i="1"/>
  <c r="J1613" i="1"/>
  <c r="I1613" i="1"/>
  <c r="H1613" i="1"/>
  <c r="G1613" i="1"/>
  <c r="O1611" i="1"/>
  <c r="O1610" i="1"/>
  <c r="K1608" i="1"/>
  <c r="J1608" i="1"/>
  <c r="I1608" i="1"/>
  <c r="H1608" i="1"/>
  <c r="G1608" i="1"/>
  <c r="F1608" i="1"/>
  <c r="N1605" i="1"/>
  <c r="M1605" i="1"/>
  <c r="N1591" i="1"/>
  <c r="N1587" i="1" s="1"/>
  <c r="M1591" i="1"/>
  <c r="L1591" i="1"/>
  <c r="L1587" i="1" s="1"/>
  <c r="O1604" i="1"/>
  <c r="O1603" i="1"/>
  <c r="O1602" i="1"/>
  <c r="O1601" i="1"/>
  <c r="O1600" i="1"/>
  <c r="O1599" i="1"/>
  <c r="O1598" i="1"/>
  <c r="N1596" i="1"/>
  <c r="M1596" i="1"/>
  <c r="L1596" i="1"/>
  <c r="F1596" i="1"/>
  <c r="O1595" i="1"/>
  <c r="N1593" i="1"/>
  <c r="M1593" i="1"/>
  <c r="L1593" i="1"/>
  <c r="K1593" i="1"/>
  <c r="J1593" i="1"/>
  <c r="I1593" i="1"/>
  <c r="H1593" i="1"/>
  <c r="G1593" i="1"/>
  <c r="O1592" i="1"/>
  <c r="O1590" i="1"/>
  <c r="O1589" i="1"/>
  <c r="K1587" i="1"/>
  <c r="J1587" i="1"/>
  <c r="I1587" i="1"/>
  <c r="H1587" i="1"/>
  <c r="G1587" i="1"/>
  <c r="F1587" i="1"/>
  <c r="N1471" i="1"/>
  <c r="M1471" i="1"/>
  <c r="O1473" i="1"/>
  <c r="N1468" i="1"/>
  <c r="M1468" i="1"/>
  <c r="O1469" i="1"/>
  <c r="O1470" i="1"/>
  <c r="N1466" i="1"/>
  <c r="M1466" i="1"/>
  <c r="L1465" i="1"/>
  <c r="O1464" i="1"/>
  <c r="H1462" i="1"/>
  <c r="L1461" i="1"/>
  <c r="O1460" i="1"/>
  <c r="H1458" i="1"/>
  <c r="L1457" i="1"/>
  <c r="O1456" i="1"/>
  <c r="H1454" i="1"/>
  <c r="O1452" i="1"/>
  <c r="O1448" i="1"/>
  <c r="O1447" i="1"/>
  <c r="O1446" i="1"/>
  <c r="O1444" i="1"/>
  <c r="O1443" i="1"/>
  <c r="O1442" i="1"/>
  <c r="O1441" i="1"/>
  <c r="O1440" i="1"/>
  <c r="O1439" i="1"/>
  <c r="O1438" i="1"/>
  <c r="N1437" i="1"/>
  <c r="M1437" i="1"/>
  <c r="L1437" i="1"/>
  <c r="F1437" i="1"/>
  <c r="O1436" i="1"/>
  <c r="O1435" i="1"/>
  <c r="O1434" i="1"/>
  <c r="O1433" i="1"/>
  <c r="N1432" i="1"/>
  <c r="N1431" i="1" s="1"/>
  <c r="M1432" i="1"/>
  <c r="M1431" i="1" s="1"/>
  <c r="L1432" i="1"/>
  <c r="L1431" i="1" s="1"/>
  <c r="K1432" i="1"/>
  <c r="J1432" i="1"/>
  <c r="I1432" i="1"/>
  <c r="H1432" i="1"/>
  <c r="G1432" i="1"/>
  <c r="F1432" i="1"/>
  <c r="N1421" i="1"/>
  <c r="N1418" i="1" s="1"/>
  <c r="M1421" i="1"/>
  <c r="M1418" i="1" s="1"/>
  <c r="L1421" i="1"/>
  <c r="L1418" i="1" s="1"/>
  <c r="O1430" i="1"/>
  <c r="O1429" i="1"/>
  <c r="O1428" i="1"/>
  <c r="O1427" i="1"/>
  <c r="O1426" i="1"/>
  <c r="O1425" i="1"/>
  <c r="O1424" i="1"/>
  <c r="O1423" i="1"/>
  <c r="N1422" i="1"/>
  <c r="M1422" i="1"/>
  <c r="L1422" i="1"/>
  <c r="F1422" i="1"/>
  <c r="O1420" i="1"/>
  <c r="O1419" i="1"/>
  <c r="K1418" i="1"/>
  <c r="J1418" i="1"/>
  <c r="I1418" i="1"/>
  <c r="H1418" i="1"/>
  <c r="G1418" i="1"/>
  <c r="F1418" i="1"/>
  <c r="N1413" i="1"/>
  <c r="M1413" i="1"/>
  <c r="O1414" i="1"/>
  <c r="N1407" i="1"/>
  <c r="M1407" i="1"/>
  <c r="O1411" i="1"/>
  <c r="O1408" i="1"/>
  <c r="O1406" i="1"/>
  <c r="N1402" i="1"/>
  <c r="M1402" i="1"/>
  <c r="M1400" i="1" s="1"/>
  <c r="O1404" i="1"/>
  <c r="O1401" i="1"/>
  <c r="N1397" i="1"/>
  <c r="M1397" i="1"/>
  <c r="O1398" i="1"/>
  <c r="M1392" i="1"/>
  <c r="N1393" i="1"/>
  <c r="O1393" i="1" s="1"/>
  <c r="O1332" i="1"/>
  <c r="O1331" i="1"/>
  <c r="O1326" i="1"/>
  <c r="K369" i="1"/>
  <c r="M367" i="1"/>
  <c r="O367" i="1" s="1"/>
  <c r="K367" i="1"/>
  <c r="M365" i="1"/>
  <c r="M364" i="1" l="1"/>
  <c r="O364" i="1" s="1"/>
  <c r="N1586" i="1"/>
  <c r="N1585" i="1" s="1"/>
  <c r="O144" i="1"/>
  <c r="N1417" i="1"/>
  <c r="O1650" i="1"/>
  <c r="O1605" i="1"/>
  <c r="L1607" i="1"/>
  <c r="L1586" i="1"/>
  <c r="O1591" i="1"/>
  <c r="M1607" i="1"/>
  <c r="N1657" i="1"/>
  <c r="N1649" i="1" s="1"/>
  <c r="O1646" i="1"/>
  <c r="L1657" i="1"/>
  <c r="L1649" i="1" s="1"/>
  <c r="O1663" i="1"/>
  <c r="O1593" i="1"/>
  <c r="M1657" i="1"/>
  <c r="M1649" i="1" s="1"/>
  <c r="N1607" i="1"/>
  <c r="O1658" i="1"/>
  <c r="M1417" i="1"/>
  <c r="M1587" i="1"/>
  <c r="M1586" i="1" s="1"/>
  <c r="M1585" i="1" s="1"/>
  <c r="O1647" i="1"/>
  <c r="O1471" i="1"/>
  <c r="O1642" i="1"/>
  <c r="L1417" i="1"/>
  <c r="O1468" i="1"/>
  <c r="O1407" i="1"/>
  <c r="O1632" i="1"/>
  <c r="O1608" i="1"/>
  <c r="O1612" i="1"/>
  <c r="O1596" i="1"/>
  <c r="O1431" i="1"/>
  <c r="M1465" i="1"/>
  <c r="M1462" i="1" s="1"/>
  <c r="M1461" i="1"/>
  <c r="M1458" i="1" s="1"/>
  <c r="M1457" i="1"/>
  <c r="M1454" i="1" s="1"/>
  <c r="O1437" i="1"/>
  <c r="O1432" i="1"/>
  <c r="O1413" i="1"/>
  <c r="O1422" i="1"/>
  <c r="O1418" i="1"/>
  <c r="O1421" i="1"/>
  <c r="O1397" i="1"/>
  <c r="N1392" i="1"/>
  <c r="O1392" i="1" s="1"/>
  <c r="O1402" i="1"/>
  <c r="N1400" i="1"/>
  <c r="O1400" i="1" s="1"/>
  <c r="O1607" i="1" l="1"/>
  <c r="O1417" i="1"/>
  <c r="O1657" i="1"/>
  <c r="O1649" i="1"/>
  <c r="O1585" i="1"/>
  <c r="O1586" i="1"/>
  <c r="O1587" i="1"/>
  <c r="N1465" i="1"/>
  <c r="N1462" i="1" s="1"/>
  <c r="O1462" i="1" s="1"/>
  <c r="N1457" i="1"/>
  <c r="N1454" i="1" s="1"/>
  <c r="O1454" i="1" s="1"/>
  <c r="N1461" i="1"/>
  <c r="N1458" i="1" s="1"/>
  <c r="O1458" i="1" s="1"/>
  <c r="O1465" i="1" l="1"/>
  <c r="O1457" i="1"/>
  <c r="O1461" i="1"/>
  <c r="N1477" i="1" l="1"/>
  <c r="N1476" i="1" s="1"/>
  <c r="N1475" i="1" s="1"/>
  <c r="M1477" i="1"/>
  <c r="M1476" i="1" s="1"/>
  <c r="M1475" i="1" s="1"/>
  <c r="O1480" i="1"/>
  <c r="O1479" i="1"/>
  <c r="O1377" i="1"/>
  <c r="O1366" i="1"/>
  <c r="O1385" i="1"/>
  <c r="O1384" i="1"/>
  <c r="O1383" i="1"/>
  <c r="O1382" i="1"/>
  <c r="O1381" i="1"/>
  <c r="O1380" i="1"/>
  <c r="O1379" i="1"/>
  <c r="O1378" i="1"/>
  <c r="O1376" i="1"/>
  <c r="O1375" i="1"/>
  <c r="O1374" i="1"/>
  <c r="O1373" i="1"/>
  <c r="O1372" i="1"/>
  <c r="O1371" i="1"/>
  <c r="N1370" i="1"/>
  <c r="L1370" i="1"/>
  <c r="F1370" i="1"/>
  <c r="M1369" i="1"/>
  <c r="O1367" i="1"/>
  <c r="O1363" i="1"/>
  <c r="N1362" i="1"/>
  <c r="L1362" i="1"/>
  <c r="K1362" i="1"/>
  <c r="J1362" i="1"/>
  <c r="I1362" i="1"/>
  <c r="H1362" i="1"/>
  <c r="G1362" i="1"/>
  <c r="F1362" i="1"/>
  <c r="N1361" i="1" l="1"/>
  <c r="O1475" i="1"/>
  <c r="O1476" i="1"/>
  <c r="O1477" i="1"/>
  <c r="M1362" i="1"/>
  <c r="M1370" i="1"/>
  <c r="O1370" i="1" s="1"/>
  <c r="O1369" i="1"/>
  <c r="O1362" i="1" l="1"/>
  <c r="M1361" i="1"/>
  <c r="N1846" i="1"/>
  <c r="N1839" i="1" s="1"/>
  <c r="M1846" i="1"/>
  <c r="M1839" i="1" s="1"/>
  <c r="L1846" i="1"/>
  <c r="O1827" i="1"/>
  <c r="N1816" i="1"/>
  <c r="N1814" i="1" s="1"/>
  <c r="N1789" i="1" s="1"/>
  <c r="M1817" i="1"/>
  <c r="M1816" i="1"/>
  <c r="O1798" i="1"/>
  <c r="M1389" i="1"/>
  <c r="O1389" i="1" s="1"/>
  <c r="N1387" i="1"/>
  <c r="N1360" i="1" s="1"/>
  <c r="M1390" i="1"/>
  <c r="O1390" i="1" s="1"/>
  <c r="O1320" i="1"/>
  <c r="O472" i="1"/>
  <c r="O475" i="1"/>
  <c r="K475" i="1"/>
  <c r="M142" i="1"/>
  <c r="M135" i="1" s="1"/>
  <c r="O135" i="1" s="1"/>
  <c r="O1839" i="1" l="1"/>
  <c r="O1361" i="1"/>
  <c r="M1360" i="1"/>
  <c r="O1360" i="1" s="1"/>
  <c r="M1814" i="1"/>
  <c r="M1789" i="1" s="1"/>
  <c r="O1387" i="1"/>
  <c r="O57" i="1"/>
  <c r="O55" i="1"/>
  <c r="O52" i="1"/>
  <c r="O53" i="1"/>
  <c r="M51" i="1"/>
  <c r="O51" i="1" s="1"/>
  <c r="O1814" i="1" l="1"/>
  <c r="O1789" i="1"/>
  <c r="N323" i="1"/>
  <c r="M323" i="1"/>
  <c r="N316" i="1"/>
  <c r="N315" i="1" s="1"/>
  <c r="M316" i="1"/>
  <c r="M315" i="1" s="1"/>
  <c r="O315" i="1" l="1"/>
  <c r="N1316" i="1"/>
  <c r="M1316" i="1"/>
  <c r="M1301" i="1" s="1"/>
  <c r="O8" i="1" l="1"/>
  <c r="K8" i="1"/>
  <c r="N7" i="1"/>
  <c r="M7" i="1"/>
  <c r="L7" i="1"/>
  <c r="K7" i="1"/>
  <c r="J7" i="1"/>
  <c r="I7" i="1"/>
  <c r="H7" i="1"/>
  <c r="G7" i="1"/>
  <c r="F7" i="1"/>
  <c r="M4" i="1"/>
  <c r="M3" i="1" s="1"/>
  <c r="N4" i="1"/>
  <c r="O5" i="1"/>
  <c r="O303" i="1"/>
  <c r="O299" i="1"/>
  <c r="M195" i="1"/>
  <c r="N195" i="1"/>
  <c r="O198" i="1"/>
  <c r="O199" i="1"/>
  <c r="O200" i="1"/>
  <c r="O201" i="1"/>
  <c r="O202" i="1"/>
  <c r="O203" i="1"/>
  <c r="O204" i="1"/>
  <c r="O205" i="1"/>
  <c r="O197" i="1"/>
  <c r="O196" i="1"/>
  <c r="O4" i="1" l="1"/>
  <c r="N3" i="1"/>
  <c r="O3" i="1" s="1"/>
  <c r="O7" i="1"/>
  <c r="M1530" i="1" l="1"/>
  <c r="L1530" i="1"/>
  <c r="N1550" i="1"/>
  <c r="O1550" i="1" s="1"/>
  <c r="N1531" i="1"/>
  <c r="O1531" i="1" s="1"/>
  <c r="M1345" i="1"/>
  <c r="M1327" i="1" s="1"/>
  <c r="O1327" i="1" s="1"/>
  <c r="L1345" i="1"/>
  <c r="O1349" i="1"/>
  <c r="O1316" i="1"/>
  <c r="O1306" i="1"/>
  <c r="O1311" i="1"/>
  <c r="K1311" i="1"/>
  <c r="M1250" i="1"/>
  <c r="L1250" i="1"/>
  <c r="N1270" i="1"/>
  <c r="O1270" i="1" s="1"/>
  <c r="N1251" i="1"/>
  <c r="M1028" i="1"/>
  <c r="M1027" i="1" s="1"/>
  <c r="L1028" i="1"/>
  <c r="N1048" i="1"/>
  <c r="O1048" i="1" s="1"/>
  <c r="N1029" i="1"/>
  <c r="M810" i="1"/>
  <c r="L810" i="1"/>
  <c r="N830" i="1"/>
  <c r="O830" i="1" s="1"/>
  <c r="N811" i="1"/>
  <c r="O811" i="1" s="1"/>
  <c r="M760" i="1"/>
  <c r="N760" i="1"/>
  <c r="M757" i="1"/>
  <c r="N757" i="1"/>
  <c r="O759" i="1"/>
  <c r="O753" i="1"/>
  <c r="M525" i="1"/>
  <c r="L525" i="1"/>
  <c r="N545" i="1"/>
  <c r="O545" i="1" s="1"/>
  <c r="N526" i="1"/>
  <c r="O526" i="1" s="1"/>
  <c r="M427" i="1"/>
  <c r="L427" i="1"/>
  <c r="N756" i="1" l="1"/>
  <c r="O1251" i="1"/>
  <c r="N1250" i="1"/>
  <c r="M756" i="1"/>
  <c r="N1530" i="1"/>
  <c r="O1530" i="1" s="1"/>
  <c r="O1345" i="1"/>
  <c r="N1028" i="1"/>
  <c r="O1250" i="1"/>
  <c r="N810" i="1"/>
  <c r="O810" i="1" s="1"/>
  <c r="N525" i="1"/>
  <c r="O525" i="1" s="1"/>
  <c r="O1028" i="1" l="1"/>
  <c r="N1027" i="1"/>
  <c r="N447" i="1"/>
  <c r="O447" i="1" s="1"/>
  <c r="N428" i="1"/>
  <c r="O1027" i="1" l="1"/>
  <c r="O428" i="1"/>
  <c r="N427" i="1"/>
  <c r="O427" i="1" s="1"/>
  <c r="M1487" i="1"/>
  <c r="M1486" i="1" s="1"/>
  <c r="M1485" i="1" s="1"/>
  <c r="L1487" i="1"/>
  <c r="N1507" i="1"/>
  <c r="O1507" i="1" s="1"/>
  <c r="N1488" i="1"/>
  <c r="O1488" i="1" s="1"/>
  <c r="N1487" i="1" l="1"/>
  <c r="O1487" i="1" l="1"/>
  <c r="N1486" i="1"/>
  <c r="O1348" i="1"/>
  <c r="N1302" i="1"/>
  <c r="O1305" i="1"/>
  <c r="O1310" i="1"/>
  <c r="K1310" i="1"/>
  <c r="M1207" i="1"/>
  <c r="M1206" i="1" s="1"/>
  <c r="M1205" i="1" s="1"/>
  <c r="L1207" i="1"/>
  <c r="N1227" i="1"/>
  <c r="O1227" i="1" s="1"/>
  <c r="N1208" i="1"/>
  <c r="M767" i="1"/>
  <c r="M766" i="1" s="1"/>
  <c r="L767" i="1"/>
  <c r="N787" i="1"/>
  <c r="O787" i="1" s="1"/>
  <c r="N768" i="1"/>
  <c r="O768" i="1" s="1"/>
  <c r="O758" i="1"/>
  <c r="O752" i="1"/>
  <c r="M482" i="1"/>
  <c r="M480" i="1" s="1"/>
  <c r="L482" i="1"/>
  <c r="N502" i="1"/>
  <c r="O502" i="1" s="1"/>
  <c r="N483" i="1"/>
  <c r="O483" i="1" s="1"/>
  <c r="M384" i="1"/>
  <c r="M383" i="1" s="1"/>
  <c r="M382" i="1" s="1"/>
  <c r="L384" i="1"/>
  <c r="N404" i="1"/>
  <c r="O1208" i="1" l="1"/>
  <c r="N1207" i="1"/>
  <c r="N1206" i="1" s="1"/>
  <c r="O1302" i="1"/>
  <c r="N1301" i="1"/>
  <c r="O1301" i="1" s="1"/>
  <c r="N1485" i="1"/>
  <c r="O1486" i="1"/>
  <c r="N767" i="1"/>
  <c r="N482" i="1"/>
  <c r="O482" i="1" l="1"/>
  <c r="N480" i="1"/>
  <c r="O480" i="1" s="1"/>
  <c r="O1206" i="1"/>
  <c r="N1205" i="1"/>
  <c r="O1205" i="1" s="1"/>
  <c r="O767" i="1"/>
  <c r="N766" i="1"/>
  <c r="O766" i="1" s="1"/>
  <c r="O1207" i="1"/>
  <c r="O1485" i="1"/>
  <c r="O404" i="1"/>
  <c r="N385" i="1"/>
  <c r="N384" i="1" s="1"/>
  <c r="N383" i="1" s="1"/>
  <c r="N382" i="1" l="1"/>
  <c r="O383" i="1"/>
  <c r="O385" i="1"/>
  <c r="O384" i="1"/>
  <c r="N1579" i="1"/>
  <c r="N1578" i="1" s="1"/>
  <c r="N1577" i="1" s="1"/>
  <c r="N1484" i="1" s="1"/>
  <c r="M1579" i="1"/>
  <c r="M1578" i="1" s="1"/>
  <c r="M1577" i="1" s="1"/>
  <c r="M1484" i="1" s="1"/>
  <c r="L1579" i="1"/>
  <c r="L1578" i="1" s="1"/>
  <c r="K1578" i="1"/>
  <c r="J1578" i="1"/>
  <c r="I1578" i="1"/>
  <c r="H1578" i="1"/>
  <c r="G1578" i="1"/>
  <c r="F1578" i="1"/>
  <c r="K1577" i="1"/>
  <c r="J1577" i="1"/>
  <c r="I1577" i="1"/>
  <c r="H1577" i="1"/>
  <c r="G1577" i="1"/>
  <c r="F1577" i="1"/>
  <c r="O1313" i="1"/>
  <c r="O1299" i="1"/>
  <c r="O1298" i="1"/>
  <c r="O1297" i="1"/>
  <c r="L1295" i="1"/>
  <c r="L1294" i="1" s="1"/>
  <c r="K1294" i="1"/>
  <c r="J1294" i="1"/>
  <c r="I1294" i="1"/>
  <c r="H1294" i="1"/>
  <c r="G1294" i="1"/>
  <c r="F1294" i="1"/>
  <c r="O755" i="1"/>
  <c r="O478" i="1"/>
  <c r="K478" i="1"/>
  <c r="O477" i="1"/>
  <c r="K477" i="1"/>
  <c r="O1484" i="1" l="1"/>
  <c r="O1578" i="1"/>
  <c r="O1577" i="1"/>
  <c r="O1579" i="1"/>
  <c r="O1294" i="1"/>
  <c r="M267" i="1" l="1"/>
  <c r="M266" i="1" s="1"/>
  <c r="L267" i="1"/>
  <c r="L266" i="1" s="1"/>
  <c r="N276" i="1" l="1"/>
  <c r="O276" i="1" s="1"/>
  <c r="N268" i="1"/>
  <c r="O268" i="1" l="1"/>
  <c r="N267" i="1"/>
  <c r="M1158" i="1"/>
  <c r="L1158" i="1"/>
  <c r="N1178" i="1"/>
  <c r="O1178" i="1" s="1"/>
  <c r="N1159" i="1"/>
  <c r="O1159" i="1" s="1"/>
  <c r="M983" i="1"/>
  <c r="L983" i="1"/>
  <c r="N1003" i="1"/>
  <c r="O1003" i="1" s="1"/>
  <c r="N984" i="1"/>
  <c r="O984" i="1" s="1"/>
  <c r="O764" i="1"/>
  <c r="M701" i="1"/>
  <c r="L701" i="1"/>
  <c r="N721" i="1"/>
  <c r="O721" i="1" s="1"/>
  <c r="N702" i="1"/>
  <c r="O702" i="1" s="1"/>
  <c r="M1115" i="1"/>
  <c r="L1115" i="1"/>
  <c r="N1135" i="1"/>
  <c r="O1135" i="1" s="1"/>
  <c r="N1116" i="1"/>
  <c r="O1116" i="1" s="1"/>
  <c r="M940" i="1"/>
  <c r="L940" i="1"/>
  <c r="N960" i="1"/>
  <c r="O960" i="1" s="1"/>
  <c r="N941" i="1"/>
  <c r="O941" i="1" s="1"/>
  <c r="M658" i="1"/>
  <c r="M571" i="1" s="1"/>
  <c r="M570" i="1" s="1"/>
  <c r="L658" i="1"/>
  <c r="N678" i="1"/>
  <c r="O678" i="1" s="1"/>
  <c r="N659" i="1"/>
  <c r="O659" i="1" s="1"/>
  <c r="N1158" i="1" l="1"/>
  <c r="O1158" i="1" s="1"/>
  <c r="O267" i="1"/>
  <c r="N266" i="1"/>
  <c r="O266" i="1" s="1"/>
  <c r="N983" i="1"/>
  <c r="O983" i="1" s="1"/>
  <c r="N701" i="1"/>
  <c r="O701" i="1" s="1"/>
  <c r="N1115" i="1"/>
  <c r="O1115" i="1" s="1"/>
  <c r="N940" i="1"/>
  <c r="O940" i="1" s="1"/>
  <c r="N658" i="1"/>
  <c r="O658" i="1" s="1"/>
  <c r="M897" i="1" l="1"/>
  <c r="L897" i="1"/>
  <c r="N917" i="1"/>
  <c r="O917" i="1" s="1"/>
  <c r="N898" i="1"/>
  <c r="O898" i="1" s="1"/>
  <c r="O762" i="1"/>
  <c r="N635" i="1"/>
  <c r="N616" i="1"/>
  <c r="O616" i="1" s="1"/>
  <c r="O1350" i="1"/>
  <c r="N1092" i="1"/>
  <c r="O1092" i="1" s="1"/>
  <c r="N1073" i="1"/>
  <c r="O1073" i="1" s="1"/>
  <c r="M854" i="1"/>
  <c r="L854" i="1"/>
  <c r="N874" i="1"/>
  <c r="O874" i="1" s="1"/>
  <c r="N855" i="1"/>
  <c r="O855" i="1" s="1"/>
  <c r="O761" i="1"/>
  <c r="N592" i="1"/>
  <c r="O592" i="1" s="1"/>
  <c r="N573" i="1"/>
  <c r="O573" i="1" s="1"/>
  <c r="M853" i="1" l="1"/>
  <c r="M765" i="1" s="1"/>
  <c r="O635" i="1"/>
  <c r="N615" i="1"/>
  <c r="N897" i="1"/>
  <c r="N1072" i="1"/>
  <c r="N1071" i="1" s="1"/>
  <c r="N854" i="1"/>
  <c r="O854" i="1" s="1"/>
  <c r="N572" i="1"/>
  <c r="O572" i="1" s="1"/>
  <c r="N1026" i="1" l="1"/>
  <c r="N571" i="1"/>
  <c r="N570" i="1" s="1"/>
  <c r="O570" i="1" s="1"/>
  <c r="O897" i="1"/>
  <c r="N853" i="1"/>
  <c r="K5" i="1"/>
  <c r="J1789" i="1"/>
  <c r="I1789" i="1"/>
  <c r="G1789" i="1"/>
  <c r="F1789" i="1"/>
  <c r="K1330" i="1"/>
  <c r="K1389" i="1"/>
  <c r="K1390" i="1"/>
  <c r="H1390" i="1"/>
  <c r="K1817" i="1"/>
  <c r="K1816" i="1"/>
  <c r="L1816" i="1" s="1"/>
  <c r="J1840" i="1"/>
  <c r="I1840" i="1"/>
  <c r="H1840" i="1"/>
  <c r="G1840" i="1"/>
  <c r="F1840" i="1"/>
  <c r="K1840" i="1"/>
  <c r="L1844" i="1"/>
  <c r="L1825" i="1"/>
  <c r="L1823" i="1"/>
  <c r="L1821" i="1"/>
  <c r="L1819" i="1"/>
  <c r="L1324" i="1"/>
  <c r="J1327" i="1"/>
  <c r="I1327" i="1"/>
  <c r="H1327" i="1"/>
  <c r="G1327" i="1"/>
  <c r="F1327" i="1"/>
  <c r="L1353" i="1"/>
  <c r="L1351" i="1"/>
  <c r="K380" i="1"/>
  <c r="J216" i="1"/>
  <c r="I216" i="1"/>
  <c r="H216" i="1"/>
  <c r="G216" i="1"/>
  <c r="F216" i="1"/>
  <c r="L247" i="1"/>
  <c r="K181" i="1"/>
  <c r="J1691" i="1"/>
  <c r="I1691" i="1"/>
  <c r="H1691" i="1"/>
  <c r="G1691" i="1"/>
  <c r="F1691" i="1"/>
  <c r="K1302" i="1"/>
  <c r="O571" i="1" l="1"/>
  <c r="O853" i="1"/>
  <c r="N765" i="1"/>
  <c r="F206" i="1"/>
  <c r="J206" i="1"/>
  <c r="I206" i="1"/>
  <c r="G206" i="1"/>
  <c r="H206" i="1"/>
  <c r="O765" i="1" l="1"/>
  <c r="K427" i="1"/>
  <c r="L470" i="1"/>
  <c r="K198" i="1" l="1"/>
  <c r="K194" i="1" s="1"/>
  <c r="L1765" i="1" l="1"/>
  <c r="L258" i="1"/>
  <c r="J14" i="1"/>
  <c r="I14" i="1"/>
  <c r="G14" i="1"/>
  <c r="F14" i="1"/>
  <c r="L67" i="1"/>
  <c r="K1676" i="1"/>
  <c r="L1682" i="1"/>
  <c r="K17" i="1"/>
  <c r="K28" i="1"/>
  <c r="L1813" i="1"/>
  <c r="K1786" i="1"/>
  <c r="K265" i="1"/>
  <c r="K1718" i="1"/>
  <c r="L1727" i="1"/>
  <c r="L65" i="1"/>
  <c r="K1670" i="1"/>
  <c r="K1669" i="1"/>
  <c r="K1575" i="1"/>
  <c r="K1574" i="1"/>
  <c r="K1293" i="1"/>
  <c r="K1204" i="1"/>
  <c r="K1203" i="1"/>
  <c r="K1202" i="1"/>
  <c r="K1201" i="1"/>
  <c r="K746" i="1"/>
  <c r="K745" i="1"/>
  <c r="K744" i="1"/>
  <c r="K481" i="1"/>
  <c r="K471" i="1"/>
  <c r="K1675" i="1" l="1"/>
  <c r="K55" i="1"/>
  <c r="J1360" i="1" l="1"/>
  <c r="I1360" i="1"/>
  <c r="G1360" i="1"/>
  <c r="F1360" i="1"/>
  <c r="K1309" i="1" l="1"/>
  <c r="L1759" i="1" l="1"/>
  <c r="J179" i="1" l="1"/>
  <c r="I179" i="1"/>
  <c r="H179" i="1"/>
  <c r="G179" i="1"/>
  <c r="K182" i="1"/>
  <c r="K179" i="1" s="1"/>
  <c r="K11" i="1"/>
  <c r="J11" i="1"/>
  <c r="I11" i="1"/>
  <c r="H11" i="1"/>
  <c r="G11" i="1"/>
  <c r="F11" i="1"/>
  <c r="L12" i="1"/>
  <c r="G1865" i="1"/>
  <c r="K26" i="1"/>
  <c r="K1751" i="1"/>
  <c r="K1735" i="1"/>
  <c r="K1732" i="1" l="1"/>
  <c r="K365" i="1"/>
  <c r="K166" i="1"/>
  <c r="K155" i="1"/>
  <c r="K217" i="1"/>
  <c r="K216" i="1" s="1"/>
  <c r="K30" i="1" l="1"/>
  <c r="L53" i="1" l="1"/>
  <c r="L52" i="1"/>
  <c r="L51" i="1"/>
  <c r="K49" i="1"/>
  <c r="H49" i="1"/>
  <c r="H14" i="1" s="1"/>
  <c r="E1862" i="1"/>
  <c r="L49" i="1" l="1"/>
  <c r="J102" i="1"/>
  <c r="I102" i="1"/>
  <c r="H102" i="1"/>
  <c r="G102" i="1"/>
  <c r="F102" i="1"/>
  <c r="M49" i="1" l="1"/>
  <c r="K115" i="1"/>
  <c r="L117" i="1"/>
  <c r="K267" i="1"/>
  <c r="K983" i="1"/>
  <c r="K701" i="1"/>
  <c r="K940" i="1"/>
  <c r="K658" i="1"/>
  <c r="K897" i="1"/>
  <c r="K615" i="1"/>
  <c r="N49" i="1" l="1"/>
  <c r="O49" i="1"/>
  <c r="K854" i="1"/>
  <c r="K572" i="1"/>
  <c r="K1530" i="1"/>
  <c r="K810" i="1"/>
  <c r="K525" i="1"/>
  <c r="J1770" i="1" l="1"/>
  <c r="I1770" i="1"/>
  <c r="H1770" i="1"/>
  <c r="G1770" i="1"/>
  <c r="F1770" i="1"/>
  <c r="K1770" i="1"/>
  <c r="K1487" i="1"/>
  <c r="K767" i="1"/>
  <c r="K482" i="1"/>
  <c r="K1431" i="1" l="1"/>
  <c r="K294" i="1"/>
  <c r="K260" i="1"/>
  <c r="L1806" i="1"/>
  <c r="K1695" i="1"/>
  <c r="L1701" i="1"/>
  <c r="L63" i="1" l="1"/>
  <c r="J1718" i="1"/>
  <c r="I1718" i="1"/>
  <c r="H1718" i="1"/>
  <c r="G1718" i="1"/>
  <c r="F1718" i="1"/>
  <c r="L1725" i="1"/>
  <c r="J1732" i="1"/>
  <c r="I1732" i="1"/>
  <c r="H1732" i="1"/>
  <c r="G1732" i="1"/>
  <c r="F1732" i="1"/>
  <c r="L1763" i="1"/>
  <c r="L1803" i="1"/>
  <c r="L61" i="1"/>
  <c r="L59" i="1"/>
  <c r="L1747" i="1" l="1"/>
  <c r="L1749" i="1"/>
  <c r="J1675" i="1"/>
  <c r="I1675" i="1"/>
  <c r="H1675" i="1"/>
  <c r="G1675" i="1"/>
  <c r="F1675" i="1"/>
  <c r="J1668" i="1"/>
  <c r="I1668" i="1"/>
  <c r="H1668" i="1"/>
  <c r="G1668" i="1"/>
  <c r="F1668" i="1"/>
  <c r="K1668" i="1"/>
  <c r="K154" i="1"/>
  <c r="K81" i="1"/>
  <c r="L100" i="1"/>
  <c r="L337" i="1" l="1"/>
  <c r="M337" i="1" s="1"/>
  <c r="L11" i="1"/>
  <c r="L1761" i="1"/>
  <c r="M325" i="1" l="1"/>
  <c r="O325" i="1" s="1"/>
  <c r="K1710" i="1"/>
  <c r="K25" i="1"/>
  <c r="K14" i="1" l="1"/>
  <c r="K1691" i="1"/>
  <c r="K123" i="1"/>
  <c r="J1606" i="1" l="1"/>
  <c r="I1606" i="1"/>
  <c r="H1606" i="1"/>
  <c r="G1606" i="1"/>
  <c r="F1606" i="1"/>
  <c r="K1646" i="1"/>
  <c r="J1585" i="1"/>
  <c r="I1585" i="1"/>
  <c r="H1585" i="1"/>
  <c r="G1585" i="1"/>
  <c r="F1585" i="1"/>
  <c r="K1605" i="1"/>
  <c r="K1413" i="1"/>
  <c r="L1415" i="1"/>
  <c r="K1397" i="1"/>
  <c r="L1399" i="1"/>
  <c r="J1476" i="1"/>
  <c r="I1476" i="1"/>
  <c r="H1476" i="1"/>
  <c r="G1476" i="1"/>
  <c r="F1476" i="1"/>
  <c r="K1481" i="1"/>
  <c r="G1301" i="1"/>
  <c r="I1301" i="1"/>
  <c r="J1301" i="1"/>
  <c r="F1301" i="1"/>
  <c r="J382" i="1"/>
  <c r="I382" i="1"/>
  <c r="H382" i="1"/>
  <c r="G382" i="1"/>
  <c r="F382" i="1"/>
  <c r="L472" i="1"/>
  <c r="L1646" i="1" l="1"/>
  <c r="L1606" i="1" s="1"/>
  <c r="K1476" i="1"/>
  <c r="K1585" i="1"/>
  <c r="K1606" i="1"/>
  <c r="L1605" i="1"/>
  <c r="L1585" i="1" s="1"/>
  <c r="L1710" i="1"/>
  <c r="K1475" i="1" l="1"/>
  <c r="J1475" i="1"/>
  <c r="I1475" i="1"/>
  <c r="H1475" i="1"/>
  <c r="G1475" i="1"/>
  <c r="G1686" i="1"/>
  <c r="H1686" i="1"/>
  <c r="I1686" i="1"/>
  <c r="J1686" i="1"/>
  <c r="K1686" i="1"/>
  <c r="F1686" i="1"/>
  <c r="H1319" i="1"/>
  <c r="H1318" i="1"/>
  <c r="G1850" i="1"/>
  <c r="H1850" i="1"/>
  <c r="I1850" i="1"/>
  <c r="J1850" i="1"/>
  <c r="F1850" i="1"/>
  <c r="K1852" i="1"/>
  <c r="K1851" i="1"/>
  <c r="L30" i="1"/>
  <c r="G1323" i="1"/>
  <c r="H1323" i="1"/>
  <c r="I1323" i="1"/>
  <c r="J1323" i="1"/>
  <c r="K1323" i="1"/>
  <c r="F1323" i="1"/>
  <c r="L1318" i="1" l="1"/>
  <c r="L1319" i="1"/>
  <c r="K1850" i="1"/>
  <c r="L1850" i="1" s="1"/>
  <c r="L1476" i="1"/>
  <c r="H1316" i="1"/>
  <c r="F1475" i="1"/>
  <c r="L1475" i="1" s="1"/>
  <c r="L1481" i="1"/>
  <c r="L1323" i="1"/>
  <c r="L1204" i="1"/>
  <c r="G371" i="1"/>
  <c r="H371" i="1"/>
  <c r="I371" i="1"/>
  <c r="J371" i="1"/>
  <c r="K371" i="1"/>
  <c r="F371" i="1"/>
  <c r="L306" i="1"/>
  <c r="I135" i="1"/>
  <c r="J135" i="1"/>
  <c r="K135" i="1"/>
  <c r="H135" i="1"/>
  <c r="L133" i="1"/>
  <c r="K127" i="1"/>
  <c r="L129" i="1"/>
  <c r="M129" i="1" s="1"/>
  <c r="M127" i="1" s="1"/>
  <c r="L1817" i="1"/>
  <c r="K1814" i="1"/>
  <c r="H1814" i="1"/>
  <c r="L57" i="1"/>
  <c r="L55" i="1"/>
  <c r="H1789" i="1" l="1"/>
  <c r="L127" i="1"/>
  <c r="K1789" i="1"/>
  <c r="H1301" i="1"/>
  <c r="L1691" i="1"/>
  <c r="L1814" i="1"/>
  <c r="L371" i="1"/>
  <c r="L1668" i="1"/>
  <c r="L14" i="1"/>
  <c r="L1789" i="1" l="1"/>
  <c r="L1753" i="1"/>
  <c r="L1751" i="1"/>
  <c r="L1757" i="1"/>
  <c r="L1723" i="1"/>
  <c r="L1721" i="1"/>
  <c r="L1708" i="1"/>
  <c r="L1707" i="1"/>
  <c r="L1705" i="1"/>
  <c r="G81" i="1"/>
  <c r="H81" i="1"/>
  <c r="I81" i="1"/>
  <c r="J81" i="1"/>
  <c r="J10" i="1" s="1"/>
  <c r="K10" i="1"/>
  <c r="F81" i="1"/>
  <c r="F10" i="1" s="1"/>
  <c r="L98" i="1"/>
  <c r="L96" i="1"/>
  <c r="L94" i="1"/>
  <c r="L92" i="1"/>
  <c r="L90" i="1"/>
  <c r="L88" i="1"/>
  <c r="L86" i="1"/>
  <c r="L84" i="1"/>
  <c r="L82" i="1"/>
  <c r="L19" i="1"/>
  <c r="L21" i="1"/>
  <c r="L47" i="1"/>
  <c r="L45" i="1"/>
  <c r="L43" i="1"/>
  <c r="L41" i="1"/>
  <c r="L39" i="1"/>
  <c r="L37" i="1"/>
  <c r="L35" i="1"/>
  <c r="L33" i="1"/>
  <c r="L28" i="1"/>
  <c r="I10" i="1" l="1"/>
  <c r="H10" i="1"/>
  <c r="G10" i="1"/>
  <c r="L1840" i="1"/>
  <c r="L1732" i="1"/>
  <c r="L1770" i="1"/>
  <c r="L1718" i="1"/>
  <c r="L10" i="1" l="1"/>
  <c r="L26" i="1"/>
  <c r="L1796" i="1"/>
  <c r="L1784" i="1"/>
  <c r="K1345" i="1"/>
  <c r="K1328" i="1" l="1"/>
  <c r="L265" i="1"/>
  <c r="K1480" i="1"/>
  <c r="K1479" i="1"/>
  <c r="L1477" i="1"/>
  <c r="G1416" i="1"/>
  <c r="I1416" i="1"/>
  <c r="J1416" i="1"/>
  <c r="K1416" i="1"/>
  <c r="F1416" i="1"/>
  <c r="L1453" i="1"/>
  <c r="L1452" i="1"/>
  <c r="H1450" i="1"/>
  <c r="H1416" i="1" l="1"/>
  <c r="L1479" i="1"/>
  <c r="M1453" i="1"/>
  <c r="L1480" i="1"/>
  <c r="K1327" i="1"/>
  <c r="L1450" i="1"/>
  <c r="L1416" i="1" s="1"/>
  <c r="L1342" i="1"/>
  <c r="N1453" i="1" l="1"/>
  <c r="M1450" i="1"/>
  <c r="M1416" i="1" s="1"/>
  <c r="M1359" i="1" s="1"/>
  <c r="L1327" i="1"/>
  <c r="M1322" i="1" s="1"/>
  <c r="O1322" i="1" s="1"/>
  <c r="K480" i="1"/>
  <c r="O1453" i="1" l="1"/>
  <c r="N1450" i="1"/>
  <c r="K1158" i="1"/>
  <c r="K1071" i="1" s="1"/>
  <c r="O1450" i="1" l="1"/>
  <c r="N1416" i="1"/>
  <c r="K1387" i="1"/>
  <c r="L1390" i="1"/>
  <c r="H1387" i="1"/>
  <c r="O1416" i="1" l="1"/>
  <c r="N1359" i="1"/>
  <c r="O1359" i="1" s="1"/>
  <c r="H1360" i="1"/>
  <c r="K1360" i="1"/>
  <c r="L1389" i="1"/>
  <c r="L1360" i="1" l="1"/>
  <c r="L572" i="1" l="1"/>
  <c r="J325" i="1"/>
  <c r="I325" i="1"/>
  <c r="H325" i="1"/>
  <c r="G325" i="1"/>
  <c r="F325" i="1"/>
  <c r="K325" i="1"/>
  <c r="L248" i="1" l="1"/>
  <c r="L205" i="1"/>
  <c r="K1729" i="1" l="1"/>
  <c r="L1854" i="1" l="1"/>
  <c r="G1672" i="1" l="1"/>
  <c r="H1672" i="1"/>
  <c r="I1672" i="1"/>
  <c r="J1672" i="1"/>
  <c r="K1672" i="1"/>
  <c r="F1672" i="1"/>
  <c r="L1673" i="1"/>
  <c r="L1672" i="1" l="1"/>
  <c r="M1673" i="1"/>
  <c r="G480" i="1"/>
  <c r="H480" i="1"/>
  <c r="I480" i="1"/>
  <c r="J480" i="1"/>
  <c r="F480" i="1"/>
  <c r="M1672" i="1" l="1"/>
  <c r="O1673" i="1"/>
  <c r="N1672" i="1"/>
  <c r="L480" i="1"/>
  <c r="G159" i="1"/>
  <c r="H159" i="1"/>
  <c r="I159" i="1"/>
  <c r="J159" i="1"/>
  <c r="K159" i="1"/>
  <c r="F159" i="1"/>
  <c r="O1672" i="1" l="1"/>
  <c r="G1729" i="1"/>
  <c r="H1729" i="1"/>
  <c r="I1729" i="1"/>
  <c r="J1729" i="1"/>
  <c r="F1729" i="1"/>
  <c r="L1755" i="1"/>
  <c r="L1698" i="1"/>
  <c r="L1695" i="1"/>
  <c r="L1730" i="1"/>
  <c r="L1675" i="1" l="1"/>
  <c r="L1797" i="1" l="1"/>
  <c r="L1795" i="1"/>
  <c r="L1794" i="1"/>
  <c r="G1787" i="1"/>
  <c r="G1769" i="1" s="1"/>
  <c r="H1787" i="1"/>
  <c r="H1769" i="1" s="1"/>
  <c r="I1787" i="1"/>
  <c r="I1769" i="1" s="1"/>
  <c r="J1787" i="1"/>
  <c r="J1769" i="1" s="1"/>
  <c r="K1787" i="1"/>
  <c r="F1787" i="1"/>
  <c r="F1769" i="1" s="1"/>
  <c r="O1729" i="1" l="1"/>
  <c r="K195" i="1"/>
  <c r="K145" i="1"/>
  <c r="L150" i="1"/>
  <c r="L125" i="1"/>
  <c r="M125" i="1" s="1"/>
  <c r="M123" i="1" s="1"/>
  <c r="K119" i="1"/>
  <c r="L121" i="1"/>
  <c r="M121" i="1" s="1"/>
  <c r="M119" i="1" s="1"/>
  <c r="K111" i="1"/>
  <c r="L113" i="1"/>
  <c r="M113" i="1" s="1"/>
  <c r="M111" i="1" s="1"/>
  <c r="M102" i="1" l="1"/>
  <c r="L119" i="1"/>
  <c r="K102" i="1"/>
  <c r="L1798" i="1"/>
  <c r="L1320" i="1"/>
  <c r="O102" i="1" l="1"/>
  <c r="M101" i="1"/>
  <c r="O101" i="1" s="1"/>
  <c r="K1028" i="1"/>
  <c r="K751" i="1"/>
  <c r="K1027" i="1" l="1"/>
  <c r="F751" i="1" l="1"/>
  <c r="L754" i="1"/>
  <c r="M754" i="1" s="1"/>
  <c r="O754" i="1" s="1"/>
  <c r="L1783" i="1" l="1"/>
  <c r="K1026" i="1" l="1"/>
  <c r="K323" i="1"/>
  <c r="J323" i="1"/>
  <c r="I323" i="1"/>
  <c r="H323" i="1"/>
  <c r="G323" i="1"/>
  <c r="F323" i="1"/>
  <c r="L323" i="1" l="1"/>
  <c r="L325" i="1"/>
  <c r="G187" i="1" l="1"/>
  <c r="G178" i="1" s="1"/>
  <c r="H187" i="1"/>
  <c r="H178" i="1" s="1"/>
  <c r="I187" i="1"/>
  <c r="I178" i="1" s="1"/>
  <c r="J187" i="1"/>
  <c r="J178" i="1" s="1"/>
  <c r="K187" i="1"/>
  <c r="F187" i="1"/>
  <c r="L187" i="1" l="1"/>
  <c r="L256" i="1"/>
  <c r="K344" i="1"/>
  <c r="L1853" i="1" l="1"/>
  <c r="G1839" i="1" l="1"/>
  <c r="H1839" i="1"/>
  <c r="I1839" i="1"/>
  <c r="J1839" i="1"/>
  <c r="K1839" i="1"/>
  <c r="F1839" i="1"/>
  <c r="G1573" i="1"/>
  <c r="H1573" i="1"/>
  <c r="I1573" i="1"/>
  <c r="J1573" i="1"/>
  <c r="K1573" i="1"/>
  <c r="F1573" i="1"/>
  <c r="K1486" i="1"/>
  <c r="K1206" i="1"/>
  <c r="G751" i="1"/>
  <c r="H751" i="1"/>
  <c r="I751" i="1"/>
  <c r="J751" i="1"/>
  <c r="K1205" i="1" l="1"/>
  <c r="K1485" i="1"/>
  <c r="L324" i="1"/>
  <c r="L193" i="1"/>
  <c r="L192" i="1"/>
  <c r="L191" i="1"/>
  <c r="L190" i="1"/>
  <c r="L1793" i="1"/>
  <c r="L189" i="1" l="1"/>
  <c r="L1293" i="1" l="1"/>
  <c r="L746" i="1"/>
  <c r="L1203" i="1"/>
  <c r="L1576" i="1"/>
  <c r="L1670" i="1"/>
  <c r="L1669" i="1"/>
  <c r="L1575" i="1"/>
  <c r="L1574" i="1"/>
  <c r="L745" i="1"/>
  <c r="L1573" i="1" l="1"/>
  <c r="L1842" i="1"/>
  <c r="L216" i="1" l="1"/>
  <c r="L207" i="1" s="1"/>
  <c r="L206" i="1" s="1"/>
  <c r="L1316" i="1" l="1"/>
  <c r="H101" i="1"/>
  <c r="I101" i="1"/>
  <c r="J101" i="1"/>
  <c r="L123" i="1"/>
  <c r="L102" i="1" l="1"/>
  <c r="L365" i="1"/>
  <c r="K1307" i="1" l="1"/>
  <c r="L1202" i="1"/>
  <c r="L1201" i="1"/>
  <c r="G749" i="1"/>
  <c r="H749" i="1"/>
  <c r="I749" i="1"/>
  <c r="J749" i="1"/>
  <c r="K749" i="1"/>
  <c r="F749" i="1"/>
  <c r="L750" i="1"/>
  <c r="L1852" i="1"/>
  <c r="K1649" i="1"/>
  <c r="J1649" i="1"/>
  <c r="I1649" i="1"/>
  <c r="H1649" i="1"/>
  <c r="G1649" i="1"/>
  <c r="F1649" i="1"/>
  <c r="L1469" i="1"/>
  <c r="K174" i="1"/>
  <c r="L749" i="1" l="1"/>
  <c r="J266" i="1"/>
  <c r="I266" i="1"/>
  <c r="H266" i="1"/>
  <c r="G266" i="1"/>
  <c r="F266" i="1"/>
  <c r="K1584" i="1"/>
  <c r="J1584" i="1"/>
  <c r="I1584" i="1"/>
  <c r="H1584" i="1"/>
  <c r="G1584" i="1"/>
  <c r="F1584" i="1"/>
  <c r="K1468" i="1"/>
  <c r="K1466" i="1" s="1"/>
  <c r="L1470" i="1"/>
  <c r="L1393" i="1"/>
  <c r="K1392" i="1"/>
  <c r="J1392" i="1"/>
  <c r="I1392" i="1"/>
  <c r="H1392" i="1"/>
  <c r="G1392" i="1"/>
  <c r="F1392" i="1"/>
  <c r="L1843" i="1"/>
  <c r="L1788" i="1"/>
  <c r="L1787" i="1" l="1"/>
  <c r="M1787" i="1"/>
  <c r="M1769" i="1" s="1"/>
  <c r="K266" i="1"/>
  <c r="L1392" i="1"/>
  <c r="O749" i="1" l="1"/>
  <c r="N1787" i="1"/>
  <c r="N1769" i="1" s="1"/>
  <c r="O1769" i="1" s="1"/>
  <c r="L1584" i="1"/>
  <c r="K571" i="1"/>
  <c r="M1606" i="1" l="1"/>
  <c r="M1584" i="1" s="1"/>
  <c r="O1787" i="1"/>
  <c r="K570" i="1"/>
  <c r="L23" i="1"/>
  <c r="O1641" i="1" l="1"/>
  <c r="N1606" i="1"/>
  <c r="N1584" i="1" s="1"/>
  <c r="O1584" i="1" s="1"/>
  <c r="K343" i="1"/>
  <c r="O1606" i="1" l="1"/>
  <c r="L111" i="1"/>
  <c r="L25" i="1" l="1"/>
  <c r="M14" i="1" l="1"/>
  <c r="M10" i="1" s="1"/>
  <c r="L1739" i="1"/>
  <c r="L568" i="1" l="1"/>
  <c r="L172" i="1"/>
  <c r="L170" i="1"/>
  <c r="L168" i="1"/>
  <c r="L166" i="1"/>
  <c r="N14" i="1" l="1"/>
  <c r="L1315" i="1"/>
  <c r="O14" i="1" l="1"/>
  <c r="N10" i="1"/>
  <c r="O10" i="1" s="1"/>
  <c r="K757" i="1"/>
  <c r="K297" i="1"/>
  <c r="L312" i="1"/>
  <c r="L326" i="1"/>
  <c r="L297" i="1" l="1"/>
  <c r="L293" i="1" s="1"/>
  <c r="M312" i="1"/>
  <c r="K1402" i="1"/>
  <c r="L1405" i="1"/>
  <c r="L755" i="1"/>
  <c r="J1026" i="1"/>
  <c r="I1026" i="1"/>
  <c r="H1026" i="1"/>
  <c r="G1026" i="1"/>
  <c r="F1026" i="1"/>
  <c r="L1072" i="1"/>
  <c r="L753" i="1"/>
  <c r="M311" i="1" l="1"/>
  <c r="O312" i="1"/>
  <c r="L1071" i="1"/>
  <c r="M1072" i="1"/>
  <c r="L1027" i="1"/>
  <c r="J1205" i="1"/>
  <c r="I1205" i="1"/>
  <c r="H1205" i="1"/>
  <c r="G1205" i="1"/>
  <c r="F1205" i="1"/>
  <c r="L752" i="1"/>
  <c r="O1072" i="1" l="1"/>
  <c r="M1071" i="1"/>
  <c r="M310" i="1"/>
  <c r="O310" i="1" s="1"/>
  <c r="O311" i="1"/>
  <c r="L1026" i="1"/>
  <c r="L751" i="1"/>
  <c r="L1205" i="1"/>
  <c r="L1206" i="1"/>
  <c r="L115" i="1"/>
  <c r="L1772" i="1"/>
  <c r="L1343" i="1"/>
  <c r="M1026" i="1" l="1"/>
  <c r="O1026" i="1" s="1"/>
  <c r="O1071" i="1"/>
  <c r="M751" i="1"/>
  <c r="M381" i="1" s="1"/>
  <c r="L204" i="1"/>
  <c r="L1387" i="1"/>
  <c r="N751" i="1" l="1"/>
  <c r="L1743" i="1"/>
  <c r="O751" i="1" l="1"/>
  <c r="N381" i="1"/>
  <c r="O381" i="1" s="1"/>
  <c r="G1400" i="1"/>
  <c r="H1400" i="1"/>
  <c r="I1400" i="1"/>
  <c r="J1400" i="1"/>
  <c r="F1400" i="1"/>
  <c r="K1471" i="1" l="1"/>
  <c r="K1303" i="1"/>
  <c r="K1301" i="1" l="1"/>
  <c r="K853" i="1"/>
  <c r="L373" i="1"/>
  <c r="M373" i="1" l="1"/>
  <c r="L1301" i="1"/>
  <c r="F1322" i="1"/>
  <c r="K293" i="1"/>
  <c r="N373" i="1" l="1"/>
  <c r="M371" i="1"/>
  <c r="M322" i="1" s="1"/>
  <c r="L1729" i="1"/>
  <c r="K316" i="1"/>
  <c r="K315" i="1" s="1"/>
  <c r="L138" i="1"/>
  <c r="L131" i="1"/>
  <c r="O373" i="1" l="1"/>
  <c r="N371" i="1"/>
  <c r="L309" i="1"/>
  <c r="O371" i="1" l="1"/>
  <c r="N322" i="1"/>
  <c r="O322" i="1" s="1"/>
  <c r="K1400" i="1"/>
  <c r="L748" i="1"/>
  <c r="L569" i="1"/>
  <c r="L747" i="1"/>
  <c r="L744" i="1"/>
  <c r="L249" i="1" l="1"/>
  <c r="L17" i="1"/>
  <c r="L15" i="1"/>
  <c r="L380" i="1" l="1"/>
  <c r="L379" i="1"/>
  <c r="L376" i="1"/>
  <c r="F179" i="1" l="1"/>
  <c r="F178" i="1" s="1"/>
  <c r="G260" i="1" l="1"/>
  <c r="H260" i="1"/>
  <c r="I260" i="1"/>
  <c r="J260" i="1"/>
  <c r="F260" i="1"/>
  <c r="L260" i="1" l="1"/>
  <c r="L1786" i="1" l="1"/>
  <c r="K1674" i="1"/>
  <c r="K760" i="1"/>
  <c r="K178" i="1"/>
  <c r="L1791" i="1"/>
  <c r="L1771" i="1"/>
  <c r="L1406" i="1"/>
  <c r="L1404" i="1"/>
  <c r="L1402" i="1"/>
  <c r="L1309" i="1"/>
  <c r="L615" i="1"/>
  <c r="L471" i="1"/>
  <c r="L164" i="1"/>
  <c r="L162" i="1"/>
  <c r="L103" i="1"/>
  <c r="L261" i="1"/>
  <c r="O615" i="1" l="1"/>
  <c r="L178" i="1"/>
  <c r="L1307" i="1"/>
  <c r="O760" i="1"/>
  <c r="K383" i="1"/>
  <c r="K382" i="1" s="1"/>
  <c r="L1773" i="1"/>
  <c r="O382" i="1" l="1"/>
  <c r="L1851" i="1"/>
  <c r="L160" i="1" l="1"/>
  <c r="L1841" i="1"/>
  <c r="L1332" i="1"/>
  <c r="L140" i="1"/>
  <c r="L159" i="1" l="1"/>
  <c r="K144" i="1"/>
  <c r="L155" i="1"/>
  <c r="J570" i="1" l="1"/>
  <c r="I570" i="1"/>
  <c r="H570" i="1"/>
  <c r="G570" i="1"/>
  <c r="F570" i="1"/>
  <c r="L383" i="1" l="1"/>
  <c r="L109" i="1" l="1"/>
  <c r="L107" i="1"/>
  <c r="F135" i="1"/>
  <c r="F101" i="1" s="1"/>
  <c r="G135" i="1"/>
  <c r="G101" i="1" s="1"/>
  <c r="L203" i="1"/>
  <c r="L135" i="1" l="1"/>
  <c r="K101" i="1" l="1"/>
  <c r="L81" i="1" s="1"/>
  <c r="K1785" i="1"/>
  <c r="K1769" i="1" l="1"/>
  <c r="L372" i="1"/>
  <c r="L351" i="1"/>
  <c r="L1769" i="1" l="1"/>
  <c r="L307" i="1" l="1"/>
  <c r="L1839" i="1" l="1"/>
  <c r="L146" i="1"/>
  <c r="O207" i="1" l="1"/>
  <c r="L1313" i="1"/>
  <c r="L1303" i="1" l="1"/>
  <c r="L853" i="1"/>
  <c r="F4" i="1" l="1"/>
  <c r="G4" i="1"/>
  <c r="H4" i="1"/>
  <c r="I4" i="1"/>
  <c r="J4" i="1"/>
  <c r="J3" i="1" s="1"/>
  <c r="K4" i="1"/>
  <c r="K3" i="1" s="1"/>
  <c r="L5" i="1"/>
  <c r="L4" i="1" s="1"/>
  <c r="L3" i="1" s="1"/>
  <c r="L136" i="1"/>
  <c r="F145" i="1"/>
  <c r="G145" i="1"/>
  <c r="H145" i="1"/>
  <c r="I145" i="1"/>
  <c r="J145" i="1"/>
  <c r="L148" i="1"/>
  <c r="F154" i="1"/>
  <c r="G154" i="1"/>
  <c r="H154" i="1"/>
  <c r="I154" i="1"/>
  <c r="J154" i="1"/>
  <c r="F174" i="1"/>
  <c r="G174" i="1"/>
  <c r="G173" i="1" s="1"/>
  <c r="H174" i="1"/>
  <c r="H173" i="1" s="1"/>
  <c r="I174" i="1"/>
  <c r="I173" i="1" s="1"/>
  <c r="J174" i="1"/>
  <c r="J173" i="1" s="1"/>
  <c r="K173" i="1"/>
  <c r="L175" i="1"/>
  <c r="L183" i="1"/>
  <c r="L184" i="1"/>
  <c r="L185" i="1"/>
  <c r="F195" i="1"/>
  <c r="G195" i="1"/>
  <c r="H195" i="1"/>
  <c r="I195" i="1"/>
  <c r="J195" i="1"/>
  <c r="L196" i="1"/>
  <c r="L197" i="1"/>
  <c r="L198" i="1"/>
  <c r="L199" i="1"/>
  <c r="L200" i="1"/>
  <c r="L201" i="1"/>
  <c r="L202" i="1"/>
  <c r="L250" i="1"/>
  <c r="L251" i="1"/>
  <c r="L252" i="1"/>
  <c r="L254" i="1"/>
  <c r="L255" i="1"/>
  <c r="L257" i="1"/>
  <c r="F293" i="1"/>
  <c r="G293" i="1"/>
  <c r="H293" i="1"/>
  <c r="I293" i="1"/>
  <c r="J293" i="1"/>
  <c r="L299" i="1"/>
  <c r="L303" i="1"/>
  <c r="L304" i="1"/>
  <c r="L305" i="1"/>
  <c r="L308" i="1"/>
  <c r="F311" i="1"/>
  <c r="G311" i="1"/>
  <c r="H311" i="1"/>
  <c r="I311" i="1"/>
  <c r="J311" i="1"/>
  <c r="J310" i="1" s="1"/>
  <c r="K311" i="1"/>
  <c r="K310" i="1" s="1"/>
  <c r="F316" i="1"/>
  <c r="G316" i="1"/>
  <c r="G315" i="1" s="1"/>
  <c r="H316" i="1"/>
  <c r="H315" i="1" s="1"/>
  <c r="I316" i="1"/>
  <c r="I315" i="1" s="1"/>
  <c r="J316" i="1"/>
  <c r="J315" i="1" s="1"/>
  <c r="L317" i="1"/>
  <c r="L319" i="1"/>
  <c r="L321" i="1"/>
  <c r="F338" i="1"/>
  <c r="G338" i="1"/>
  <c r="H338" i="1"/>
  <c r="I338" i="1"/>
  <c r="J338" i="1"/>
  <c r="K338" i="1"/>
  <c r="L339" i="1"/>
  <c r="L341" i="1"/>
  <c r="F343" i="1"/>
  <c r="G343" i="1"/>
  <c r="H343" i="1"/>
  <c r="I343" i="1"/>
  <c r="J343" i="1"/>
  <c r="L358" i="1"/>
  <c r="L359" i="1"/>
  <c r="L360" i="1"/>
  <c r="L361" i="1"/>
  <c r="L362" i="1"/>
  <c r="L363" i="1"/>
  <c r="F364" i="1"/>
  <c r="G364" i="1"/>
  <c r="H364" i="1"/>
  <c r="I364" i="1"/>
  <c r="J364" i="1"/>
  <c r="K375" i="1"/>
  <c r="F378" i="1"/>
  <c r="G378" i="1"/>
  <c r="G377" i="1" s="1"/>
  <c r="H378" i="1"/>
  <c r="H377" i="1" s="1"/>
  <c r="I378" i="1"/>
  <c r="I377" i="1" s="1"/>
  <c r="J378" i="1"/>
  <c r="J377" i="1" s="1"/>
  <c r="K378" i="1"/>
  <c r="K377" i="1" s="1"/>
  <c r="L481" i="1"/>
  <c r="F756" i="1"/>
  <c r="G756" i="1"/>
  <c r="H756" i="1"/>
  <c r="I756" i="1"/>
  <c r="J756" i="1"/>
  <c r="L758" i="1"/>
  <c r="L759" i="1"/>
  <c r="K756" i="1"/>
  <c r="L761" i="1"/>
  <c r="L762" i="1"/>
  <c r="L763" i="1"/>
  <c r="L764" i="1"/>
  <c r="G765" i="1"/>
  <c r="F765" i="1"/>
  <c r="H765" i="1"/>
  <c r="I765" i="1"/>
  <c r="J765" i="1"/>
  <c r="L1302" i="1"/>
  <c r="L1305" i="1"/>
  <c r="L1306" i="1"/>
  <c r="L1312" i="1"/>
  <c r="G1322" i="1"/>
  <c r="H1322" i="1"/>
  <c r="I1322" i="1"/>
  <c r="J1322" i="1"/>
  <c r="K1322" i="1"/>
  <c r="L1326" i="1"/>
  <c r="L1328" i="1"/>
  <c r="L1330" i="1"/>
  <c r="L1331" i="1"/>
  <c r="F1397" i="1"/>
  <c r="G1397" i="1"/>
  <c r="H1397" i="1"/>
  <c r="I1397" i="1"/>
  <c r="J1397" i="1"/>
  <c r="L1398" i="1"/>
  <c r="L1401" i="1"/>
  <c r="F1407" i="1"/>
  <c r="G1407" i="1"/>
  <c r="H1407" i="1"/>
  <c r="I1407" i="1"/>
  <c r="J1407" i="1"/>
  <c r="K1407" i="1"/>
  <c r="K1359" i="1" s="1"/>
  <c r="L1408" i="1"/>
  <c r="F1413" i="1"/>
  <c r="G1413" i="1"/>
  <c r="H1413" i="1"/>
  <c r="I1413" i="1"/>
  <c r="J1413" i="1"/>
  <c r="L1414" i="1"/>
  <c r="F1471" i="1"/>
  <c r="G1471" i="1"/>
  <c r="H1471" i="1"/>
  <c r="I1471" i="1"/>
  <c r="J1471" i="1"/>
  <c r="F1485" i="1"/>
  <c r="G1485" i="1"/>
  <c r="H1485" i="1"/>
  <c r="I1485" i="1"/>
  <c r="J1485" i="1"/>
  <c r="J1484" i="1" s="1"/>
  <c r="L1676" i="1"/>
  <c r="F1674" i="1"/>
  <c r="G1674" i="1"/>
  <c r="H1674" i="1"/>
  <c r="I1674" i="1"/>
  <c r="J1674" i="1"/>
  <c r="L1687" i="1"/>
  <c r="L1692" i="1"/>
  <c r="L1704" i="1"/>
  <c r="L1719" i="1"/>
  <c r="L1733" i="1"/>
  <c r="L1735" i="1"/>
  <c r="L1737" i="1"/>
  <c r="L1741" i="1"/>
  <c r="L1745" i="1"/>
  <c r="L1785" i="1"/>
  <c r="L1790" i="1"/>
  <c r="L1792" i="1"/>
  <c r="L195" i="1" l="1"/>
  <c r="L757" i="1"/>
  <c r="L760" i="1"/>
  <c r="O757" i="1"/>
  <c r="H1484" i="1"/>
  <c r="H3" i="1"/>
  <c r="G1484" i="1"/>
  <c r="G3" i="1"/>
  <c r="I1484" i="1"/>
  <c r="L1400" i="1"/>
  <c r="I3" i="1"/>
  <c r="H310" i="1"/>
  <c r="I310" i="1"/>
  <c r="G310" i="1"/>
  <c r="I144" i="1"/>
  <c r="H144" i="1"/>
  <c r="G144" i="1"/>
  <c r="J144" i="1"/>
  <c r="L145" i="1"/>
  <c r="F144" i="1"/>
  <c r="J381" i="1"/>
  <c r="F381" i="1"/>
  <c r="I381" i="1"/>
  <c r="H381" i="1"/>
  <c r="G381" i="1"/>
  <c r="L1674" i="1"/>
  <c r="L382" i="1"/>
  <c r="L154" i="1"/>
  <c r="J322" i="1"/>
  <c r="H322" i="1"/>
  <c r="I177" i="1"/>
  <c r="F322" i="1"/>
  <c r="G177" i="1"/>
  <c r="I322" i="1"/>
  <c r="J177" i="1"/>
  <c r="G322" i="1"/>
  <c r="H177" i="1"/>
  <c r="F1484" i="1"/>
  <c r="L375" i="1"/>
  <c r="K374" i="1"/>
  <c r="L374" i="1" s="1"/>
  <c r="L1413" i="1"/>
  <c r="K1484" i="1"/>
  <c r="L1486" i="1"/>
  <c r="L1397" i="1"/>
  <c r="F377" i="1"/>
  <c r="L377" i="1" s="1"/>
  <c r="L378" i="1"/>
  <c r="L1471" i="1"/>
  <c r="L338" i="1"/>
  <c r="F315" i="1"/>
  <c r="L315" i="1" s="1"/>
  <c r="L316" i="1"/>
  <c r="F173" i="1"/>
  <c r="L173" i="1" s="1"/>
  <c r="L174" i="1"/>
  <c r="F310" i="1"/>
  <c r="L311" i="1"/>
  <c r="F3" i="1"/>
  <c r="L1686" i="1"/>
  <c r="L1407" i="1"/>
  <c r="K364" i="1"/>
  <c r="L364" i="1" s="1"/>
  <c r="K206" i="1"/>
  <c r="K177" i="1" s="1"/>
  <c r="L179" i="1"/>
  <c r="L217" i="1"/>
  <c r="L1361" i="1"/>
  <c r="L253" i="1"/>
  <c r="L756" i="1" l="1"/>
  <c r="O756" i="1"/>
  <c r="O195" i="1"/>
  <c r="K322" i="1"/>
  <c r="L1322" i="1"/>
  <c r="I1468" i="1"/>
  <c r="I1466" i="1" s="1"/>
  <c r="G1468" i="1"/>
  <c r="G1466" i="1" s="1"/>
  <c r="F1468" i="1"/>
  <c r="H1468" i="1"/>
  <c r="H1466" i="1" s="1"/>
  <c r="J1468" i="1"/>
  <c r="J1466" i="1" s="1"/>
  <c r="L1485" i="1"/>
  <c r="L310" i="1"/>
  <c r="L101" i="1"/>
  <c r="L144" i="1"/>
  <c r="F1359" i="1" l="1"/>
  <c r="F1466" i="1"/>
  <c r="L1484" i="1"/>
  <c r="G1359" i="1"/>
  <c r="G1849" i="1" s="1"/>
  <c r="M177" i="1"/>
  <c r="M1849" i="1" s="1"/>
  <c r="L177" i="1"/>
  <c r="J1359" i="1"/>
  <c r="J1849" i="1" s="1"/>
  <c r="J1846" i="1" s="1"/>
  <c r="I1359" i="1"/>
  <c r="I1849" i="1" s="1"/>
  <c r="I1846" i="1" s="1"/>
  <c r="H1359" i="1"/>
  <c r="H1849" i="1" s="1"/>
  <c r="H1846" i="1" s="1"/>
  <c r="F177" i="1"/>
  <c r="F1849" i="1" s="1"/>
  <c r="F1846" i="1" s="1"/>
  <c r="L1468" i="1"/>
  <c r="L1359" i="1" s="1"/>
  <c r="G1855" i="1" l="1"/>
  <c r="G1846" i="1"/>
  <c r="N177" i="1"/>
  <c r="I1855" i="1"/>
  <c r="J1855" i="1"/>
  <c r="H1855" i="1"/>
  <c r="F1855" i="1"/>
  <c r="O177" i="1" l="1"/>
  <c r="N1849" i="1"/>
  <c r="HR206" i="1"/>
  <c r="O1849" i="1" l="1"/>
  <c r="N1855" i="1"/>
  <c r="L343" i="1"/>
  <c r="L322" i="1" s="1"/>
  <c r="L571" i="1" l="1"/>
  <c r="L570" i="1" l="1"/>
  <c r="K766" i="1"/>
  <c r="K765" i="1" l="1"/>
  <c r="L765" i="1" s="1"/>
  <c r="L766" i="1"/>
  <c r="K381" i="1" l="1"/>
  <c r="K1849" i="1" l="1"/>
  <c r="K1846" i="1" s="1"/>
  <c r="L381" i="1"/>
  <c r="L1849" i="1" s="1"/>
  <c r="L1855" i="1" l="1"/>
  <c r="E1863" i="1" s="1"/>
  <c r="I1865" i="1" s="1"/>
  <c r="K1855" i="1"/>
  <c r="M1855" i="1" l="1"/>
  <c r="O1855" i="1" s="1"/>
</calcChain>
</file>

<file path=xl/sharedStrings.xml><?xml version="1.0" encoding="utf-8"?>
<sst xmlns="http://schemas.openxmlformats.org/spreadsheetml/2006/main" count="2890" uniqueCount="938">
  <si>
    <t>RÓŻNICA</t>
  </si>
  <si>
    <t>DOCHODY</t>
  </si>
  <si>
    <t>na żółto oznaczono plan wydatków majątkowych Gminy Łęczna</t>
  </si>
  <si>
    <t>-</t>
  </si>
  <si>
    <t>O G Ó Ł E M    B U D Ż E T</t>
  </si>
  <si>
    <t>ROZCHODY</t>
  </si>
  <si>
    <t>O G Ó Ł E M    W Y D A T K I</t>
  </si>
  <si>
    <r>
      <rPr>
        <b/>
        <sz val="18"/>
        <rFont val="Times New Roman"/>
        <family val="1"/>
        <charset val="238"/>
      </rPr>
      <t>Nagrody w dziedzinie kultury</t>
    </r>
    <r>
      <rPr>
        <sz val="18"/>
        <rFont val="Times New Roman"/>
        <family val="1"/>
        <charset val="238"/>
      </rPr>
      <t xml:space="preserve">, w tym: </t>
    </r>
    <r>
      <rPr>
        <i/>
        <sz val="18"/>
        <rFont val="Times New Roman"/>
        <family val="1"/>
        <charset val="238"/>
      </rPr>
      <t>nagroda za osiągnięcia w dziedzinie twórczości artystycznej, upowszechniania i ochrony dóbr kultury - Łęczyński Odyniec Kultury; nagrody dla młodzieży za osiągnięcia w dziedzinie twórczości artystycznej, upowszechniania i ochrony kultury</t>
    </r>
  </si>
  <si>
    <t>Pozostała działalność</t>
  </si>
  <si>
    <t>Dotacja dla Miejsko-Gminnej Biblioteki Publicznej w Łęcznej</t>
  </si>
  <si>
    <t>Biblioteki</t>
  </si>
  <si>
    <t>Festyn rekreacyjny "Bieg Kasztelański"</t>
  </si>
  <si>
    <t>Międzynarodowy Plener Malarski</t>
  </si>
  <si>
    <t>Festiwal Kapel Ulicznych i Podwórkowych</t>
  </si>
  <si>
    <r>
      <t xml:space="preserve">Dotacja dla Centrum Kultury w Łęcznej </t>
    </r>
    <r>
      <rPr>
        <sz val="18"/>
        <rFont val="Times New Roman"/>
        <family val="1"/>
        <charset val="238"/>
      </rPr>
      <t xml:space="preserve">na realizację  następujących zadań zleconych przez Gminę Łęczna </t>
    </r>
  </si>
  <si>
    <t>KULTURA I OCHRONA DZIEDZICTWA NARODOWEGO</t>
  </si>
  <si>
    <t>w tym:</t>
  </si>
  <si>
    <t>Zdroje uliczne - opłata za pobór wody, naprawy i wymiany</t>
  </si>
  <si>
    <t>Oświetlenie ulic, placów i dróg</t>
  </si>
  <si>
    <t>Utrzymanie zieleni w miastach i gminach</t>
  </si>
  <si>
    <t>Oczyszczanie miast i wsi</t>
  </si>
  <si>
    <t>w tym środki na:</t>
  </si>
  <si>
    <t>GOSPODARKA KOMUNALNA I OCHRONA ŚRODOWISKA</t>
  </si>
  <si>
    <t>ŚRODKI DLA SZKÓŁ:</t>
  </si>
  <si>
    <t>A</t>
  </si>
  <si>
    <t xml:space="preserve">Świetlice szkolne </t>
  </si>
  <si>
    <t>85401</t>
  </si>
  <si>
    <t>EDUKACYJNA OPIEKA WYCHOWAWCZA</t>
  </si>
  <si>
    <t>Obsługa bankowa jednostek organizacyjnych gminy (MOPS, ŚDS w Łęcznej)</t>
  </si>
  <si>
    <t>Ośrodki pomocy społecznej</t>
  </si>
  <si>
    <t>85219</t>
  </si>
  <si>
    <t>Zasiłki stałe</t>
  </si>
  <si>
    <t>Dodatki mieszkaniowe</t>
  </si>
  <si>
    <t>85214</t>
  </si>
  <si>
    <t>Ośrodki wsparcia</t>
  </si>
  <si>
    <t>85203</t>
  </si>
  <si>
    <t>POMOC SPOŁECZNA</t>
  </si>
  <si>
    <t xml:space="preserve">Rezerwa celowa z przeznaczeniem na realizację zadań z zakresu profilaktyki i przeciwdziałania alkoholizmowi, zleconych w drodze otwartych konkursów ofert podmiotom niezaliczanym do sektora finansów publicznych i niedziałającym w celu osiągnięcia zysku </t>
  </si>
  <si>
    <t>Realizacja Gminnego Programu Profilaktyki i Rozwiązywania Problemów Alkoholowych</t>
  </si>
  <si>
    <t>Przeciwdziałanie alkoholizmowi</t>
  </si>
  <si>
    <t>Zwalczanie narkomanii</t>
  </si>
  <si>
    <t>OCHRONA ZDROWIA</t>
  </si>
  <si>
    <t>Komisje egzaminacyjne na stopień nauczyciela mianowanego</t>
  </si>
  <si>
    <t>Zespół Obsługi Szkół i Przedszkoli w Łęcznej</t>
  </si>
  <si>
    <t>Nagrody Burmistrza Łęcznej dla nauczycieli</t>
  </si>
  <si>
    <t>Urząd Miejski w Łęcznej</t>
  </si>
  <si>
    <t>Stypendia dla dzieci i młodzieży za wyniki w nauce</t>
  </si>
  <si>
    <t>Odpis na ZFŚS dla emerytów i rencistów w szkołach</t>
  </si>
  <si>
    <t xml:space="preserve">Przedszkole Publiczne Nr 4 </t>
  </si>
  <si>
    <t>Przedszkole Publiczne Nr 3</t>
  </si>
  <si>
    <t>Przedszkole Publiczne Nr 2</t>
  </si>
  <si>
    <t>Przedszkole Publiczne Nr 1</t>
  </si>
  <si>
    <t>ŚRODKI DLA PRZEDSZKOLI:</t>
  </si>
  <si>
    <t>B</t>
  </si>
  <si>
    <t>Stołówki szkolne i przedszkolne</t>
  </si>
  <si>
    <t>Dokształcanie i doskonalenie nauczycieli</t>
  </si>
  <si>
    <r>
      <t xml:space="preserve">Środki dla </t>
    </r>
    <r>
      <rPr>
        <b/>
        <u/>
        <sz val="18"/>
        <rFont val="Times New Roman"/>
        <family val="1"/>
        <charset val="238"/>
      </rPr>
      <t>Zespołu Obsługi Szkół i Przedszkoli w Łęcznej</t>
    </r>
    <r>
      <rPr>
        <b/>
        <sz val="18"/>
        <rFont val="Times New Roman"/>
        <family val="1"/>
        <charset val="238"/>
      </rPr>
      <t xml:space="preserve"> </t>
    </r>
    <r>
      <rPr>
        <sz val="18"/>
        <rFont val="Times New Roman"/>
        <family val="1"/>
        <charset val="238"/>
      </rPr>
      <t>na pokrycie kosztów funkcjonowania</t>
    </r>
  </si>
  <si>
    <t>Dowożenie uczniów do szkół</t>
  </si>
  <si>
    <t>C</t>
  </si>
  <si>
    <t>ŚRODKI DLA PUBLICZNYCH PRZEDSZKOLI:</t>
  </si>
  <si>
    <t>Przedszkola</t>
  </si>
  <si>
    <t>Oddziały przedszkolne w szkołach podstawowych</t>
  </si>
  <si>
    <t>Szkoły podstawowe</t>
  </si>
  <si>
    <t>OŚWIATA I WYCHOWANIE</t>
  </si>
  <si>
    <t>Rezerwa ogólna</t>
  </si>
  <si>
    <t>Rezerwy ogólne i celowe</t>
  </si>
  <si>
    <t>75818</t>
  </si>
  <si>
    <t>RÓŻNE ROZLICZENIA</t>
  </si>
  <si>
    <t>758</t>
  </si>
  <si>
    <t>Odsetki od kredytów, pożyczek oraz wyemitowanych obligacji</t>
  </si>
  <si>
    <t>Obsługa papierów wartościowych, kredytów i pożyczek jst</t>
  </si>
  <si>
    <t>OBSŁUGA DŁUGU PUBLICZNEGO</t>
  </si>
  <si>
    <t>Rezerwa celowa z przeznaczeniem na realizację zadań własnych z zakresu zarządzania kryzysowego</t>
  </si>
  <si>
    <t>Zarządzanie kryzysowe</t>
  </si>
  <si>
    <t>Badania lekarskie pracowników Straży Miejskiej w Łęcznej</t>
  </si>
  <si>
    <t>Szkolenia dla Straży Miejskiej w Łęcznej</t>
  </si>
  <si>
    <t>Podróże służbowe zagraniczne i krajowe</t>
  </si>
  <si>
    <t>Realizacja programu "Bezpieczne życie"</t>
  </si>
  <si>
    <t>Realizacja programu "Jestem Bezpieczny"</t>
  </si>
  <si>
    <t xml:space="preserve">Wydatki rzeczowe na utrzymanie Straży Miejskiej w Łęcznej              </t>
  </si>
  <si>
    <t>Wydatki płacowe dla Straży Miejskiej w Łęcznej:</t>
  </si>
  <si>
    <t>Straż Miejska</t>
  </si>
  <si>
    <t>Wydatki na szkolenia obrony cywilnej</t>
  </si>
  <si>
    <t>Obrona cywilna</t>
  </si>
  <si>
    <t>w tym w szczególności:</t>
  </si>
  <si>
    <t>Ochotnicze straże pożarne</t>
  </si>
  <si>
    <t>BEZPIECZEŃSTWO PUBLICZNE I OCHRONA PRZECIWPOŻAROWA</t>
  </si>
  <si>
    <t>Wydatki na pokrycie kosztów szkoleń obronnych i treningów akcji kurierskiej</t>
  </si>
  <si>
    <t>Pokrycie należności mieszkaniowych żołnierzom odbywającym służbę wojskową, absolwentom szkół wyższych odbywających przeszkolenie</t>
  </si>
  <si>
    <t>Wypłata świadczenia pieniężnego żołnierzom rezerwy odbywającym ćwiczenia wojskowe</t>
  </si>
  <si>
    <t>Pozostałe wydatki obronne</t>
  </si>
  <si>
    <t>OBRONA NARODOWA</t>
  </si>
  <si>
    <t>Koszty prowadzenia i aktualizacji stałego rejestru wyborców</t>
  </si>
  <si>
    <t>Urzędy naczelnych organów władzy państwowej, kontroli i ochrony prawa</t>
  </si>
  <si>
    <t>URZĘDY NACZELNYCH ORGANÓW WŁADZY PAŃSTWOWEJ, KONTROLI I OCHRONY PRAWA ORAZ SĄDOWNICTWA</t>
  </si>
  <si>
    <t>wynagrodzenie inkasenta opłaty targowej, zakup bloczków opłat targowych i inne wydatki związane z poborem tej opłaty</t>
  </si>
  <si>
    <t>koszty postępowania egzekucyjnego wynikające z nałożonych przez Straż Miejską w Łęcznej mandatów karnych</t>
  </si>
  <si>
    <t>inne koszty związane z poborem podatków i opłat (druki, opłaty pocztowe i inne opłaty)</t>
  </si>
  <si>
    <t>koszty związane z ustanowieniem zabezpieczenia hipotecznego w związku z zaległościami podatkowymi</t>
  </si>
  <si>
    <t>koszty związane z egzekucją zaległych podatków</t>
  </si>
  <si>
    <t>Współpraca z miastami partnerskimi</t>
  </si>
  <si>
    <t>Promocja Gminy Łęczna, zakup materiałów na rozwój i promocję miasta</t>
  </si>
  <si>
    <t xml:space="preserve">Promocja jednostek samorządu terytorialnego </t>
  </si>
  <si>
    <t>Ubezpieczenie wspólne majątku i odpowiedzialności cywilnej Gminy Łęczna wraz z jednostkami organizacyjnymi i instytucjami kultury</t>
  </si>
  <si>
    <t>Koszty związane z przeprowadzeniem audytu Gminy Łęczna</t>
  </si>
  <si>
    <t>Badania lekarskie pracowników</t>
  </si>
  <si>
    <t>Obsługa bankowa budżetu</t>
  </si>
  <si>
    <t>Wydatki na utrzymanie Urzędu Miejskiego w Łęcznej</t>
  </si>
  <si>
    <t>WYDATKI RZECZOWE I MAJĄTKOWE</t>
  </si>
  <si>
    <t>Środki przeznacza się na utrzymanie administracji samorządowej; pokrywają one wydatki osobowe i rzeczowe</t>
  </si>
  <si>
    <t>Urzędy gmin (miast i miast na prawach powiatu)</t>
  </si>
  <si>
    <t>Współpraca samorządu Gminy Łęczna z innymi samorządami terytorialnymi</t>
  </si>
  <si>
    <t>Podróże służbowe radnych Rady Miejskiej w Łęcznej</t>
  </si>
  <si>
    <t>Szkolenia dla radnych Rady Miejskiej w Łęcznej</t>
  </si>
  <si>
    <t>Wydatki rzeczowe - zakupy na posiedzenia komisji i Sesje Rady Miejskiej</t>
  </si>
  <si>
    <t>Diety dla przewodniczących jednostek pomocniczych gminy</t>
  </si>
  <si>
    <t>Diety radnych - ryczałt</t>
  </si>
  <si>
    <t>Rady gmin (miast i miast na prawach powiatu)</t>
  </si>
  <si>
    <t>5. Odpis na ZFŚS</t>
  </si>
  <si>
    <t>4. Składki na Fundusz Pracy</t>
  </si>
  <si>
    <t>3. Składki na ubezpieczenia społeczne</t>
  </si>
  <si>
    <t>2. Dodatkowe wynagrodzenia roczne</t>
  </si>
  <si>
    <t>Urzędy wojewódzkie</t>
  </si>
  <si>
    <t>75011</t>
  </si>
  <si>
    <t>ADMINISTRACJA PUBLICZNA</t>
  </si>
  <si>
    <t>INFORMATYKA</t>
  </si>
  <si>
    <t>Cmentarze</t>
  </si>
  <si>
    <t>Plany zagospodarowania przestrzennego</t>
  </si>
  <si>
    <t>DZIAŁALNOŚĆ USŁUGOWA</t>
  </si>
  <si>
    <t>Gospodarka gruntami i nieruchomościami</t>
  </si>
  <si>
    <t>GOSPODARKA MIESZKANIOWA</t>
  </si>
  <si>
    <t>Drogi publiczne gminne</t>
  </si>
  <si>
    <t>TRANSPORT I ŁĄCZNOŚĆ</t>
  </si>
  <si>
    <t>Izby rolnicze</t>
  </si>
  <si>
    <t>01030</t>
  </si>
  <si>
    <t>ROLNICTWO I ŁOWIECTWO</t>
  </si>
  <si>
    <t>010</t>
  </si>
  <si>
    <t xml:space="preserve"> ROZDZIAŁ</t>
  </si>
  <si>
    <t>NAZWA ZADANIA - DZIAŁU</t>
  </si>
  <si>
    <t xml:space="preserve">DZIAŁ </t>
  </si>
  <si>
    <t>Lp.</t>
  </si>
  <si>
    <t>Wspieranie rodziny</t>
  </si>
  <si>
    <t>Domy i ośrodki kultury, świetlice i kluby</t>
  </si>
  <si>
    <r>
      <t xml:space="preserve">Dotacja dla </t>
    </r>
    <r>
      <rPr>
        <b/>
        <sz val="18"/>
        <rFont val="Times New Roman"/>
        <family val="1"/>
        <charset val="238"/>
      </rPr>
      <t>Stowarzyszenia Nauczycieli i Wychowawców "Przyjazna Szkoła"</t>
    </r>
    <r>
      <rPr>
        <sz val="18"/>
        <rFont val="Times New Roman"/>
        <family val="1"/>
        <charset val="238"/>
      </rPr>
      <t xml:space="preserve"> w Zofiówce</t>
    </r>
  </si>
  <si>
    <t xml:space="preserve"> KULTURA FIZYCZNA </t>
  </si>
  <si>
    <t>Zadania w zakresie kultury fizycznej</t>
  </si>
  <si>
    <t>ŚRODKI DLA SZKÓŁ PROWADZONYCH PRZEZ GMINĘ:</t>
  </si>
  <si>
    <t>D</t>
  </si>
  <si>
    <t>Uroczysta oprawa wręczenia nagród za osiągnięcia sportowe oraz oprawa uroczystości wręczenia nagród za osiągnięcia w dziedzinie upowszechniania kultury i Łęczyńskiego Odyńca Kultury</t>
  </si>
  <si>
    <t>Świadczenia rodzinne, świadczenie funduszu alimentacyjnego oraz składki na ubezpieczenie emerytalne i rentowe z ubezpieczenia społecznego</t>
  </si>
  <si>
    <t>Wyłapywanie bezpańskich zwierząt, zlecanie obserwacji przez lekarzy weterynarii, usługi weterynaryjne i opieka nad bezdomnymi zwierzętami</t>
  </si>
  <si>
    <t>Utrzymanie targowiska w mieście - wywóz nieczystości, dostawa energii i wody, naprawy bieżące</t>
  </si>
  <si>
    <t xml:space="preserve">Zapewnienie gotowości bojowej jednostek Ochotniczych Straży Pożarnych z terenu Gminy Łęczna </t>
  </si>
  <si>
    <t>Wynagrodzenie dla Gminnej Komisji Urbanistyczno-Architektonicznej</t>
  </si>
  <si>
    <t>Regulacja stanów prawnych nieruchomości plus opłaty hipoteczne</t>
  </si>
  <si>
    <t xml:space="preserve">Szacunki nieruchomości (działek do sprzedaży oraz wycena wartości działek do aktualizacji opłat za użytkowanie wieczyste) </t>
  </si>
  <si>
    <t>Drobne prace geodezyjne (podziały nieruchomości, wznowienie granic, wypisy i wyrysy z ewidencji gruntów)</t>
  </si>
  <si>
    <t xml:space="preserve">Opracowanie operatów nazewnictwa ulic i numeracji porządkowej nieruchomości </t>
  </si>
  <si>
    <t xml:space="preserve">Opłaty roczne za wieczyste użytkowanie gruntów Skarbu Państwa </t>
  </si>
  <si>
    <t xml:space="preserve">Ogłoszenia w prasie (przetargi, plany zagospodarowania przestrzennego) </t>
  </si>
  <si>
    <t xml:space="preserve">Dieta Przewodniczącego Rady Miejskiej </t>
  </si>
  <si>
    <r>
      <t>Środki na dożywianie dzieci uczestniczących w pozalekcyjnych programach opiekuńczo - wychowawczych i socjoterapeutycznych. Zadanie realizowane przez</t>
    </r>
    <r>
      <rPr>
        <b/>
        <sz val="18"/>
        <rFont val="Times New Roman"/>
        <family val="1"/>
        <charset val="238"/>
      </rPr>
      <t xml:space="preserve"> MOPS w Łęcznej</t>
    </r>
    <r>
      <rPr>
        <sz val="18"/>
        <rFont val="Times New Roman"/>
        <family val="1"/>
        <charset val="238"/>
      </rPr>
      <t>.</t>
    </r>
  </si>
  <si>
    <t xml:space="preserve">Nagrody i wyróżnienia za osiągnięcie wysokich wyników sportowych </t>
  </si>
  <si>
    <t>Opłata za korzystanie ze środowiska (dzierżawa gruntów pokrytych wodami - kładki; wody opadowe z kanalizacji deszczowej)</t>
  </si>
  <si>
    <t xml:space="preserve">Koszty związane z utrzymaniem cmentarza komunalnego                       </t>
  </si>
  <si>
    <t xml:space="preserve">Umowy zlecenia, umowy o dzieło, usługi obejmujące wykonanie ekspertyz, analiz, opinii </t>
  </si>
  <si>
    <t>koszty związane z egzekucją zaległych opłat, niepodatkowych należności budżetowych, należności cywilnoprawnych, opłaty sądowe</t>
  </si>
  <si>
    <t>Rozbudowa monitoringu miejskiego</t>
  </si>
  <si>
    <r>
      <t xml:space="preserve">Dotacja dla </t>
    </r>
    <r>
      <rPr>
        <b/>
        <sz val="18"/>
        <rFont val="Times New Roman"/>
        <family val="1"/>
        <charset val="238"/>
      </rPr>
      <t>Przedszkola Prywatnego "Casper"</t>
    </r>
  </si>
  <si>
    <t xml:space="preserve">Pokrycie kosztów pobytu mieszkańców gminy Łęczna w DPS - zakup usług przez jednostki samorządu terytorialnego od innych jednostek samorządu terytorialnego </t>
  </si>
  <si>
    <t xml:space="preserve">w tym środki na organizację następujących imprez kulturalnych: </t>
  </si>
  <si>
    <t>Zakup odzieży ochronnej, sprzętu bhp, środków czystości oraz napojów dla pracowników zatrudnionych w referacie</t>
  </si>
  <si>
    <t>Utrzymanie kanalizacji deszczowej na terenie miasta (naprawy bieżące, konserwacja, usuwanie awarii, czyszczenie wpustów ulicznych itp.)</t>
  </si>
  <si>
    <t xml:space="preserve">Koszty związane z poborem podatków, opłat i niepodatkowych należności budżetowych </t>
  </si>
  <si>
    <r>
      <rPr>
        <b/>
        <sz val="18"/>
        <color indexed="8"/>
        <rFont val="Times New Roman"/>
        <family val="1"/>
        <charset val="238"/>
      </rPr>
      <t>Zarządzanie nieruchomościami</t>
    </r>
    <r>
      <rPr>
        <sz val="18"/>
        <color indexed="8"/>
        <rFont val="Times New Roman"/>
        <family val="1"/>
        <charset val="238"/>
      </rPr>
      <t xml:space="preserve"> - lokalami i budynkami stanowiącymi własność gminy Łęczna </t>
    </r>
  </si>
  <si>
    <t xml:space="preserve">Wykup nieruchomości pod planowane inwestycje gminne </t>
  </si>
  <si>
    <t xml:space="preserve">Koszty sądowe i egzekucyjne dot.eksmisji najemców lokali </t>
  </si>
  <si>
    <t>Odszkodowania za działki wydzielone pod drogi z nieruchomości objętych podziałem na wniosek właściciela</t>
  </si>
  <si>
    <r>
      <t xml:space="preserve">Realizacja działań związanych z profilaktyką i rozwiązywaniem problemów alkoholowych - w tym prowadzenie profilaktycznej działalności informacyjnej i edukacyjnej w zakresie rozwiązywania problemów alkoholowych i przeciwdziałania narkomanii, w  szczególności dla dzieci i młodzieży; realizacja programów zagospodarowania czasu wolnego dzieci i młodzieży, programów promujących zdrowy styl życia - </t>
    </r>
    <r>
      <rPr>
        <b/>
        <sz val="18"/>
        <rFont val="Times New Roman"/>
        <family val="1"/>
        <charset val="238"/>
      </rPr>
      <t xml:space="preserve"> zadanie realizowane przez MOPS w Łęcznej.</t>
    </r>
  </si>
  <si>
    <t>Realizacja przedszkolnych i szkolnych programów profilaktycznych. Zadanie realizowane przez przedszkola i szkoły z terenu Gminy Łęczna</t>
  </si>
  <si>
    <t>Utrzymanie świetlic wiejskich - zakupy</t>
  </si>
  <si>
    <t>Organizacja przez Urząd Miejski w Łęcznej prac społecznie użytecznych - świadczenie pieniężne dla 10 osób</t>
  </si>
  <si>
    <t xml:space="preserve">Odpis z podatku rolnego na funkcjonowanie izb rolniczych           </t>
  </si>
  <si>
    <t>a)</t>
  </si>
  <si>
    <t>b)</t>
  </si>
  <si>
    <t>c)</t>
  </si>
  <si>
    <t>d)</t>
  </si>
  <si>
    <t>Realizacja pozalekcyjnych zajęć sportowych w ramach szkolnych programów profilaktycznych</t>
  </si>
  <si>
    <t>Wieczór Teatrów Różnych</t>
  </si>
  <si>
    <t>Ochrona zabytków i opieka nad zabytkami</t>
  </si>
  <si>
    <t>Pasternik 15</t>
  </si>
  <si>
    <t>Szkoła Podstawowa Nr 2 w Łęcznej:</t>
  </si>
  <si>
    <t>Szkoła Podstawowa Nr 2 w Łęcznej</t>
  </si>
  <si>
    <t>e)</t>
  </si>
  <si>
    <t>f)</t>
  </si>
  <si>
    <t>Realizacja zadań wymagających stosowania specjalnej organizacji nauki i metod pracy dla dzieci w przedszkolach, oddziałach przedszkolnych w szkołach podstawowych i innych formach wychowania przedszkolnego</t>
  </si>
  <si>
    <t>Obsługa bankowa jednostek organizacyjnych gminy (szkoły, przedszkola, ZOSziP)</t>
  </si>
  <si>
    <r>
      <t xml:space="preserve">Kredyt z </t>
    </r>
    <r>
      <rPr>
        <b/>
        <sz val="18"/>
        <rFont val="Times New Roman"/>
        <family val="1"/>
        <charset val="238"/>
      </rPr>
      <t>BRE Banku S.A.</t>
    </r>
    <r>
      <rPr>
        <sz val="18"/>
        <rFont val="Times New Roman"/>
        <family val="1"/>
        <charset val="238"/>
      </rPr>
      <t xml:space="preserve"> z przeznaczeniem na finansowanie planowanego deficytu budżetu Gminy Łęczna w roku 2011:</t>
    </r>
  </si>
  <si>
    <t>1. Wynagrodzenia osobowe pracowników</t>
  </si>
  <si>
    <t>Zakup środków ochrony indywidualnej: odzież ochronna, refundacja zakupów okularów, itp.</t>
  </si>
  <si>
    <t xml:space="preserve">inkaso dla sołtysów i inkasentów oraz wydatki związane z doręczeniem nakazów podatkowych </t>
  </si>
  <si>
    <r>
      <rPr>
        <b/>
        <sz val="18"/>
        <rFont val="Times New Roman"/>
        <family val="1"/>
        <charset val="238"/>
      </rPr>
      <t>Wydatki na realizację zadania zleconego z zakresu administracji rządowej z przeznaczeniem na wydatki</t>
    </r>
    <r>
      <rPr>
        <sz val="18"/>
        <rFont val="Times New Roman"/>
        <family val="1"/>
        <charset val="238"/>
      </rPr>
      <t xml:space="preserve"> bieżące Środowiskowego Domu Samopomocy w Łęcznej  </t>
    </r>
  </si>
  <si>
    <t>Wydatki związane z opieką nad bezdomnymi kotami  - zakup karmy, sterylizacja kocic itp.</t>
  </si>
  <si>
    <t xml:space="preserve">Fontanny miejskie - opłata za pobór wody, materiały eksploatacyjne,  naprawy pomp  </t>
  </si>
  <si>
    <t>Podatek od nieruchomości od gruntów pod drogami, podatek leśny</t>
  </si>
  <si>
    <t>Realizacja zadań własnych gminy w zakresie gospodarki odpadami komunalnymi, określonymi w ustawie z dnia 13 września 1996 roku o utrzymaniu czystości i porządku w gminach</t>
  </si>
  <si>
    <t>Podróże służbowe pracowników samorządowych i pracowników administracji rządowej, ryczałty samochodowe pracowników - do tej grupy wydatków nie wlicza się kosztów dojazdu, zakwaterowania i wyżywienia uczestników w ramach szkoleń</t>
  </si>
  <si>
    <r>
      <t xml:space="preserve">Przebudowa budynku spichlerza w Podzamczu na potrzeby Środowiskowego Domu Samopomocy  - </t>
    </r>
    <r>
      <rPr>
        <b/>
        <sz val="18"/>
        <rFont val="Times New Roman"/>
        <family val="1"/>
        <charset val="238"/>
      </rPr>
      <t>WPF</t>
    </r>
  </si>
  <si>
    <t>Pasternik 13</t>
  </si>
  <si>
    <t>Plac Kościuszki 1</t>
  </si>
  <si>
    <t>Utrzymanie magazynków, doposażenie i konserwacja sprzętu oc</t>
  </si>
  <si>
    <r>
      <t xml:space="preserve">Dotacja na sfinansowanie prac konserwatorskich, restauratorskich lub robót budowlanych przy zabytkach wpisanych do rejestru zabytków </t>
    </r>
    <r>
      <rPr>
        <i/>
        <sz val="18"/>
        <rFont val="Times New Roman"/>
        <family val="1"/>
        <charset val="238"/>
      </rPr>
      <t>(wniosek Parafii p.w. Marii Magdaleny w Łęcznej)</t>
    </r>
  </si>
  <si>
    <t>Przedszkole Publiczne Nr 4 w Łęcznej</t>
  </si>
  <si>
    <t>Zadania w zakresie przeciwdziałania przemocy w rodzinie</t>
  </si>
  <si>
    <t>Pomoc w zakresie dożywiania</t>
  </si>
  <si>
    <t>RODZINA</t>
  </si>
  <si>
    <t>Świadczenie wychowawcze</t>
  </si>
  <si>
    <t>Wspólna obsługa jednostek samorządu terytorialnego</t>
  </si>
  <si>
    <t>Ekwiwalent z tytułu prania odzieży dla Straży Miejskiej w Łęcznej, środki bhp, okulary korekcyjne, kaski itp.</t>
  </si>
  <si>
    <t>Inne formy wychowania przedszkolnego</t>
  </si>
  <si>
    <r>
      <t xml:space="preserve">Dotacja dla </t>
    </r>
    <r>
      <rPr>
        <b/>
        <sz val="18"/>
        <rFont val="Times New Roman"/>
        <family val="1"/>
        <charset val="238"/>
      </rPr>
      <t>Przedszkola Prywatnego "Aniołek"</t>
    </r>
  </si>
  <si>
    <r>
      <rPr>
        <b/>
        <sz val="18"/>
        <rFont val="Times New Roman"/>
        <family val="1"/>
        <charset val="238"/>
      </rPr>
      <t>Środki samorządowe</t>
    </r>
    <r>
      <rPr>
        <sz val="18"/>
        <rFont val="Times New Roman"/>
        <family val="1"/>
        <charset val="238"/>
      </rPr>
      <t xml:space="preserve"> dla</t>
    </r>
    <r>
      <rPr>
        <b/>
        <sz val="18"/>
        <rFont val="Times New Roman"/>
        <family val="1"/>
        <charset val="238"/>
      </rPr>
      <t xml:space="preserve"> Miejskiego Ośrodka Pomocy Społecznej w Łęcznej </t>
    </r>
    <r>
      <rPr>
        <sz val="18"/>
        <rFont val="Times New Roman"/>
        <family val="1"/>
        <charset val="238"/>
      </rPr>
      <t xml:space="preserve"> na pokrycie wydatków związanych z realizacją ustawy o wspieraniu rodziny i systemie pieczy zastępczej</t>
    </r>
  </si>
  <si>
    <r>
      <rPr>
        <b/>
        <sz val="18"/>
        <rFont val="Times New Roman"/>
        <family val="1"/>
        <charset val="238"/>
      </rPr>
      <t>Środki samorządowe</t>
    </r>
    <r>
      <rPr>
        <sz val="18"/>
        <rFont val="Times New Roman"/>
        <family val="1"/>
        <charset val="238"/>
      </rPr>
      <t xml:space="preserve"> na pokrycie kosztów funkcjonowania </t>
    </r>
    <r>
      <rPr>
        <b/>
        <sz val="18"/>
        <rFont val="Times New Roman"/>
        <family val="1"/>
        <charset val="238"/>
      </rPr>
      <t>Miejskiego Ośrodka Pomocy Społecznej w Łęcznej</t>
    </r>
    <r>
      <rPr>
        <sz val="18"/>
        <rFont val="Times New Roman"/>
        <family val="1"/>
        <charset val="238"/>
      </rPr>
      <t xml:space="preserve"> (obsługa funduszu alimentacyjnego)</t>
    </r>
  </si>
  <si>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wypłatę świadczeń rodzinnych oraz na wypłatę alimentów z funduszu alimentacyjnego </t>
    </r>
  </si>
  <si>
    <r>
      <t xml:space="preserve">Wydatki na realizację zadania zleconego z zakresu administracji rządowej </t>
    </r>
    <r>
      <rPr>
        <sz val="18"/>
        <rFont val="Times New Roman"/>
        <family val="1"/>
        <charset val="238"/>
      </rPr>
      <t>dla</t>
    </r>
    <r>
      <rPr>
        <b/>
        <sz val="18"/>
        <rFont val="Times New Roman"/>
        <family val="1"/>
        <charset val="238"/>
      </rPr>
      <t xml:space="preserve"> Miejskiego Ośrodka Pomocy Społecznej w Łęcznej </t>
    </r>
    <r>
      <rPr>
        <sz val="18"/>
        <rFont val="Times New Roman"/>
        <family val="1"/>
        <charset val="238"/>
      </rPr>
      <t>z przeznaczeniem na wypłatę świadczeń wychowawczych</t>
    </r>
  </si>
  <si>
    <r>
      <rPr>
        <b/>
        <sz val="18"/>
        <rFont val="Times New Roman"/>
        <family val="1"/>
        <charset val="238"/>
      </rPr>
      <t>Środki samorządowe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pokrycie kosztów dożywiania</t>
    </r>
  </si>
  <si>
    <r>
      <t xml:space="preserve">Wydatki na realizację programu </t>
    </r>
    <r>
      <rPr>
        <b/>
        <sz val="18"/>
        <rFont val="Times New Roman"/>
        <family val="1"/>
        <charset val="238"/>
      </rPr>
      <t>"Pomoc państwa w zakresie dożywiania"</t>
    </r>
    <r>
      <rPr>
        <sz val="18"/>
        <rFont val="Times New Roman"/>
        <family val="1"/>
        <charset val="238"/>
      </rPr>
      <t xml:space="preserve"> w ramach dotacji z Lubelskiego Urzędu Wojewódzkiego dla </t>
    </r>
    <r>
      <rPr>
        <b/>
        <sz val="18"/>
        <rFont val="Times New Roman"/>
        <family val="1"/>
        <charset val="238"/>
      </rPr>
      <t>Miejskiego Ośrodka Pomocy Społecznej w Łęcznej.</t>
    </r>
  </si>
  <si>
    <r>
      <rPr>
        <b/>
        <sz val="18"/>
        <rFont val="Times New Roman"/>
        <family val="1"/>
        <charset val="238"/>
      </rPr>
      <t>Środki samorządowe</t>
    </r>
    <r>
      <rPr>
        <sz val="18"/>
        <rFont val="Times New Roman"/>
        <family val="1"/>
        <charset val="238"/>
      </rPr>
      <t xml:space="preserve"> na pokrycie kosztów funkcjonowania </t>
    </r>
    <r>
      <rPr>
        <b/>
        <sz val="18"/>
        <rFont val="Times New Roman"/>
        <family val="1"/>
        <charset val="238"/>
      </rPr>
      <t>Miejskiego Ośrodka Pomocy Społecznej w Łęcznej</t>
    </r>
  </si>
  <si>
    <r>
      <rPr>
        <b/>
        <sz val="18"/>
        <rFont val="Times New Roman"/>
        <family val="1"/>
        <charset val="238"/>
      </rPr>
      <t>Środki na zadania własne pozyskane z Lubelskiego Urzędu Wojewódzkiego w Lublinie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pokrycie kosztów funkcjonowania Miejskiego Ośrodka Pomocy Społecznej w Łęcznej </t>
    </r>
    <r>
      <rPr>
        <b/>
        <sz val="18"/>
        <color indexed="10"/>
        <rFont val="Times New Roman"/>
        <family val="1"/>
        <charset val="238"/>
      </rPr>
      <t xml:space="preserve"> </t>
    </r>
  </si>
  <si>
    <r>
      <t xml:space="preserve">Wydatki na realizację zadań własnych dofinansowywanych z budżetu państwa - </t>
    </r>
    <r>
      <rPr>
        <sz val="18"/>
        <rFont val="Times New Roman"/>
        <family val="1"/>
        <charset val="238"/>
      </rPr>
      <t>wypłata zasiłków stałych dla podopiecznych MOPS; wydatki realizowane przez</t>
    </r>
    <r>
      <rPr>
        <b/>
        <sz val="18"/>
        <rFont val="Times New Roman"/>
        <family val="1"/>
        <charset val="238"/>
      </rPr>
      <t xml:space="preserve"> MOPS w Łęcznej</t>
    </r>
  </si>
  <si>
    <r>
      <rPr>
        <b/>
        <sz val="18"/>
        <rFont val="Times New Roman"/>
        <family val="1"/>
        <charset val="238"/>
      </rPr>
      <t xml:space="preserve">Wydatki na realizację zadań własnych dofinansowywanych z budżetu państwa - </t>
    </r>
    <r>
      <rPr>
        <sz val="18"/>
        <rFont val="Times New Roman"/>
        <family val="1"/>
        <charset val="238"/>
      </rPr>
      <t>ubezpieczenie zdrowotne od zasiłków stałych; wydatki realizowane przez</t>
    </r>
    <r>
      <rPr>
        <b/>
        <sz val="18"/>
        <rFont val="Times New Roman"/>
        <family val="1"/>
        <charset val="238"/>
      </rPr>
      <t xml:space="preserve"> MOPS w Łęcznej </t>
    </r>
  </si>
  <si>
    <t>Przedszkole Publiczne Nr 1 w Łęcznej</t>
  </si>
  <si>
    <t>Szkoła Podstawowa Nr 4 w Łęcznej:</t>
  </si>
  <si>
    <t>Szkoła Podstawowa Nr 4 w Łęcznej</t>
  </si>
  <si>
    <t>Realizacja zadań wymagających stosowania specjalnej organizacji nauki i metod pracy dla dzieci i młodzieży w szkołach podstawowych</t>
  </si>
  <si>
    <t>E</t>
  </si>
  <si>
    <r>
      <t xml:space="preserve">Dotacja dla Centrum Kultury w Łęcznej </t>
    </r>
    <r>
      <rPr>
        <sz val="18"/>
        <rFont val="Times New Roman"/>
        <family val="1"/>
        <charset val="238"/>
      </rPr>
      <t xml:space="preserve">na działalność bieżącą </t>
    </r>
  </si>
  <si>
    <t>Szkolenia pracowników (w tym umowy zlecenia i umowy o dzieło, których przedmiotem są szkolenia pracowników oraz koszty dojazdów, zakwaterowania i wyżywienia uczestników szkoleń, dofinansowanie do studiów)</t>
  </si>
  <si>
    <t>F</t>
  </si>
  <si>
    <r>
      <t xml:space="preserve">Dotacja dla </t>
    </r>
    <r>
      <rPr>
        <b/>
        <sz val="18"/>
        <rFont val="Times New Roman"/>
        <family val="1"/>
        <charset val="238"/>
      </rPr>
      <t>Przedszkola Niepublicznego "Aniołek"</t>
    </r>
  </si>
  <si>
    <t>Tworzenie i funkcjonowanie żłobków</t>
  </si>
  <si>
    <r>
      <t xml:space="preserve">Dotacja dla </t>
    </r>
    <r>
      <rPr>
        <b/>
        <sz val="18"/>
        <rFont val="Times New Roman"/>
        <family val="1"/>
        <charset val="238"/>
      </rPr>
      <t>Żłobka "Żółwik"</t>
    </r>
  </si>
  <si>
    <r>
      <t xml:space="preserve">Dotacja dla </t>
    </r>
    <r>
      <rPr>
        <b/>
        <sz val="18"/>
        <rFont val="Times New Roman"/>
        <family val="1"/>
        <charset val="238"/>
      </rPr>
      <t>Żłobka "Casper"</t>
    </r>
  </si>
  <si>
    <r>
      <t xml:space="preserve">Dotacja dla </t>
    </r>
    <r>
      <rPr>
        <b/>
        <sz val="18"/>
        <rFont val="Times New Roman"/>
        <family val="1"/>
        <charset val="238"/>
      </rPr>
      <t>Przedszkola Niepublicznego "Mali odkrywcy"</t>
    </r>
  </si>
  <si>
    <t xml:space="preserve"> </t>
  </si>
  <si>
    <t>Opłata za trwałe wyłączenie z rolniczego użytkowania gruntu rolnego na terenie miasta</t>
  </si>
  <si>
    <t>Wydatki na zadania zlecone z zakresu administracji rządowej - wydatki na sprawy obywatelskie</t>
  </si>
  <si>
    <t>Wydatki na zadania zlecone z zakresu administracji rządowej - wydatki na sprawy pozostałe</t>
  </si>
  <si>
    <t>Komendy powiatowe Policji</t>
  </si>
  <si>
    <r>
      <t xml:space="preserve">Kredyt z </t>
    </r>
    <r>
      <rPr>
        <b/>
        <sz val="18"/>
        <rFont val="Times New Roman"/>
        <family val="1"/>
        <charset val="238"/>
      </rPr>
      <t>BS Łęczna</t>
    </r>
    <r>
      <rPr>
        <sz val="18"/>
        <rFont val="Times New Roman"/>
        <family val="1"/>
        <charset val="238"/>
      </rPr>
      <t xml:space="preserve"> z przeznaczeniem na finansowanie planowanego deficytu budżetu Gminy Łęczna w roku 2017</t>
    </r>
  </si>
  <si>
    <r>
      <t>Kredyt z</t>
    </r>
    <r>
      <rPr>
        <b/>
        <sz val="18"/>
        <rFont val="Times New Roman"/>
        <family val="1"/>
        <charset val="238"/>
      </rPr>
      <t xml:space="preserve"> PKO BP S.A. </t>
    </r>
    <r>
      <rPr>
        <sz val="18"/>
        <rFont val="Times New Roman"/>
        <family val="1"/>
        <charset val="238"/>
      </rPr>
      <t>z</t>
    </r>
    <r>
      <rPr>
        <b/>
        <sz val="18"/>
        <rFont val="Times New Roman"/>
        <family val="1"/>
        <charset val="238"/>
      </rPr>
      <t xml:space="preserve"> </t>
    </r>
    <r>
      <rPr>
        <sz val="18"/>
        <rFont val="Times New Roman"/>
        <family val="1"/>
        <charset val="238"/>
      </rPr>
      <t>przeznaczeniem na finansowanie planowanego deficytu budżetu Gminy Łęczna w roku 2016:</t>
    </r>
  </si>
  <si>
    <t>Zatrudnienie brukarzy do prac na terenie Gminy Łęczna</t>
  </si>
  <si>
    <t>Wczesne wspomaganie rozwoju dziecka</t>
  </si>
  <si>
    <t xml:space="preserve">Rezerwa celowa z przeznaczeniem na realizację zadań własnych gminy z zakresu kultury, sztuki, ochrony dóbr kultury i tradycji , ochrony dziedzictwa narodowego oraz z zakresu sportu, zleconych w drodze otwartych konkursów ofert podmiotom nie zaliczanym do sektora finansów publicznych i niedziałającym w celu osiągnięcia zysku </t>
  </si>
  <si>
    <r>
      <t xml:space="preserve">Dotacja dla </t>
    </r>
    <r>
      <rPr>
        <b/>
        <sz val="18"/>
        <rFont val="Times New Roman"/>
        <family val="1"/>
        <charset val="238"/>
      </rPr>
      <t>Szkoły Podstawowej, prowadzonej przez</t>
    </r>
    <r>
      <rPr>
        <sz val="18"/>
        <rFont val="Times New Roman"/>
        <family val="1"/>
        <charset val="238"/>
      </rPr>
      <t xml:space="preserve"> </t>
    </r>
    <r>
      <rPr>
        <b/>
        <sz val="18"/>
        <rFont val="Times New Roman"/>
        <family val="1"/>
        <charset val="238"/>
      </rPr>
      <t>Stowarzyszenie Nauczycieli i Wychowawców "Przyjazna Szkoła"</t>
    </r>
    <r>
      <rPr>
        <sz val="18"/>
        <rFont val="Times New Roman"/>
        <family val="1"/>
        <charset val="238"/>
      </rPr>
      <t xml:space="preserve"> </t>
    </r>
    <r>
      <rPr>
        <b/>
        <sz val="18"/>
        <rFont val="Times New Roman"/>
        <family val="1"/>
        <charset val="238"/>
      </rPr>
      <t>w Zofiówce</t>
    </r>
  </si>
  <si>
    <r>
      <rPr>
        <b/>
        <sz val="18"/>
        <rFont val="Times New Roman"/>
        <family val="1"/>
        <charset val="238"/>
      </rPr>
      <t xml:space="preserve">Wydatki na realizację zadań własnych dofinansowywanych z budżetu państwa - </t>
    </r>
    <r>
      <rPr>
        <sz val="18"/>
        <rFont val="Times New Roman"/>
        <family val="1"/>
        <charset val="238"/>
      </rPr>
      <t xml:space="preserve">wypłata zasiłków okresowych dla podopiecznych MOPS w Łęcznej; wydatki realizowane przez </t>
    </r>
    <r>
      <rPr>
        <b/>
        <sz val="18"/>
        <rFont val="Times New Roman"/>
        <family val="1"/>
        <charset val="238"/>
      </rPr>
      <t>MOPS w Łęcznej</t>
    </r>
  </si>
  <si>
    <t>Zakup energii elektrycznej, konserwacja oraz inne wydatki związane z utrzymaniem oświetlenia ulic miejskich i dróg gminnych</t>
  </si>
  <si>
    <t>na zielono oznaczono plan wydatków finansowanych z kar i opłat za gospodarcze korzystanie ze środowiska</t>
  </si>
  <si>
    <t>na pomarańczowo oznaczono plan wydatków finansowanych z opłat za korzystanie przez operatorów i przewoźników z przystanków komunikacyjnych</t>
  </si>
  <si>
    <t xml:space="preserve"> Wsparcie finansowe dla Komendy Powiatowej Policji - dofinansowanie zakupu samochodu służbowego</t>
  </si>
  <si>
    <t>Przedszkole Publiczne Nr 2 w Łęcznej:</t>
  </si>
  <si>
    <t>Przedszkole Publiczne Nr 3 w Łęcznej</t>
  </si>
  <si>
    <t xml:space="preserve">Przemysłowa  4 </t>
  </si>
  <si>
    <t xml:space="preserve">Składki na ubezpieczenie zdrowotne opłacane za osoby pobierające niektóre świadczenia rodzinne, zgodnie z przepisami ustawy o świadczeniach rodzinnych oraz za osoby pobierające zasiłki dla opiekunów, zgodnie z przepisami ustawy z dnia 4 kwietnia 2014 roku o ustaleniu i wypłacie zasiłków dla opiekunów </t>
  </si>
  <si>
    <t>Gospodarka odpadami komunalnymi</t>
  </si>
  <si>
    <t>Pozostałe działania związane z gospodarką odpadami</t>
  </si>
  <si>
    <t>Zasiłki okresowe, celowe i pomoc w naturze oraz składki na ubezpieczenia emetrytalne i rentowe</t>
  </si>
  <si>
    <t>Składki na ubezpieczenie zdrowotne opłacane za osoby pobierające niektóre świadczenia z pomocy społecznej oraz  za osoby uczestniczące w zajęciach w centrum integracji społecznej</t>
  </si>
  <si>
    <t>Rewitalizacja zespołu dworsko-parkowego Podzamcze,</t>
  </si>
  <si>
    <t>Ochrona zasobów dziedzictwa kulturowego na terenie zespołu dworsko-parkowego Podzamcze</t>
  </si>
  <si>
    <t>Wydatki związane z utrzymaniem trwałości projektów:</t>
  </si>
  <si>
    <t xml:space="preserve">Remont i ustawienie nowych wiat przystankowych  na terenie gminy Łęczna </t>
  </si>
  <si>
    <r>
      <t xml:space="preserve"> wydatki w kwocie </t>
    </r>
    <r>
      <rPr>
        <b/>
        <i/>
        <u/>
        <sz val="18"/>
        <rFont val="Times New Roman CE"/>
        <charset val="238"/>
      </rPr>
      <t>4.000 zł</t>
    </r>
    <r>
      <rPr>
        <b/>
        <i/>
        <sz val="18"/>
        <rFont val="Times New Roman CE"/>
        <charset val="238"/>
      </rPr>
      <t xml:space="preserve"> finansowane z opłat za korzystanie przez operatorów i przewoźników z przystanków komunikacyjnych, których właścicielem bądź zarządzającym jest Gmina Łęczna</t>
    </r>
  </si>
  <si>
    <t xml:space="preserve">Pokrycie kosztów wychowania przedszkolnego ucznia (mieszkańca Gminy Łęczna) uczęszczającego do przedszkola publicznego lub publicznej innej formy wychowania przedszkolnego, prowadzonego przez inną jst </t>
  </si>
  <si>
    <t xml:space="preserve">Pokrycie kosztów dotacji udzielonej przez jst (inną niż Gmina Łęczna) na ucznia będącego mieszkańcem Gminy Łęczna a uczęszczającego do przedszkola prowadzonego przez organ inny niż jednostka samorządu terytorialnego </t>
  </si>
  <si>
    <t>Pokrycie kosztów dotacji udzielonej przez jst (inną niż Gmina Łęczna) na ucznia będącego mieszkańcem Gminy Łęczna a uczęszczającego do przedszkola prowadzonego przez organ inny niż jednostka samorządu terytorialnego</t>
  </si>
  <si>
    <t xml:space="preserve">Szkoła Podstawowa Nr 2 w Łęcznej </t>
  </si>
  <si>
    <t xml:space="preserve">Szkoła Podstawowa Nr 4 w Łęcznej </t>
  </si>
  <si>
    <t>g)</t>
  </si>
  <si>
    <t xml:space="preserve">Wydatki na realizację zadania zleconego z zakresu administracji rządowej; składki opłacać będzie Miejski Ośrodek Pomocy Społecznej w Łęcznej </t>
  </si>
  <si>
    <r>
      <t>Zabiegi pielęgnacyjne na łęczyńskich rondach (</t>
    </r>
    <r>
      <rPr>
        <i/>
        <sz val="18"/>
        <rFont val="Times New Roman"/>
        <family val="1"/>
        <charset val="238"/>
      </rPr>
      <t>odchwaszczanie, nawożenie, podlewanie roślinności podczas suszy)</t>
    </r>
  </si>
  <si>
    <t>Zabiegi konserwacyjne i pielęgnacyjne drzewostanu na placach i w parkach miejskich</t>
  </si>
  <si>
    <t>Opróżnianie pojemników przeznaczonych do zbierania odpadów komunalnych, utrzymywanie ich w odpowiednim stanie sanitarnym, porządkowym i technicznym</t>
  </si>
  <si>
    <t xml:space="preserve">Organizacja terenów rekreacyjnych (zakupy, naprawy, konserwacja: ławek ulicznych, urządzeń, elementów małej architektury, urządzanie nowych obiektów rekreacyjno - sportowych). </t>
  </si>
  <si>
    <t>Koszty związane z uzyskaniem nowych operatów wodno-prawnych na zrzut wód opadowych do rzek Wieprz i Świnka</t>
  </si>
  <si>
    <t xml:space="preserve">Zakup materiałów i usług niezbędnych do prac referatu jako zarządcy dróg gminnych: pachołki, znaki drogowe pionowe, zastawy, taśmy, tablice informacyjne, farba do odnawiania znaków i słupków, usługi sprzętu i maszyn na drogach gminnych, usługi remontowe, zakup kruszywa, asfaltu itp. </t>
  </si>
  <si>
    <t>*</t>
  </si>
  <si>
    <t xml:space="preserve">- wynagrodzenia i pochodne </t>
  </si>
  <si>
    <t>"Wolontariat Małolata" (styczeń- grudzień 2020)</t>
  </si>
  <si>
    <t xml:space="preserve">Klub Kobiet Aktywnych (styczeń-grudzień 2020) </t>
  </si>
  <si>
    <t xml:space="preserve">Grupa wsparcia dla kobiet doświadczających przemocy (marzec-grudzień 2020) </t>
  </si>
  <si>
    <r>
      <t>Prowadzenie</t>
    </r>
    <r>
      <rPr>
        <b/>
        <sz val="18"/>
        <rFont val="Times New Roman"/>
        <family val="1"/>
        <charset val="238"/>
      </rPr>
      <t xml:space="preserve"> punktu konsultacyjno-informacyjnego</t>
    </r>
    <r>
      <rPr>
        <sz val="18"/>
        <rFont val="Times New Roman"/>
        <family val="1"/>
        <charset val="238"/>
      </rPr>
      <t xml:space="preserve"> związanego z profilaktyką, rozwiązywaniem problemów i przeciwdziałaniem narkomanii - Zadanie realizowane przez</t>
    </r>
    <r>
      <rPr>
        <b/>
        <sz val="18"/>
        <rFont val="Times New Roman"/>
        <family val="1"/>
        <charset val="238"/>
      </rPr>
      <t xml:space="preserve"> MOPS w Łęcznej.</t>
    </r>
  </si>
  <si>
    <r>
      <t>Prowadzenie</t>
    </r>
    <r>
      <rPr>
        <b/>
        <sz val="18"/>
        <rFont val="Times New Roman"/>
        <family val="1"/>
        <charset val="238"/>
      </rPr>
      <t xml:space="preserve"> punktu konsultacyjno-informacyjnego</t>
    </r>
    <r>
      <rPr>
        <sz val="18"/>
        <rFont val="Times New Roman"/>
        <family val="1"/>
        <charset val="238"/>
      </rPr>
      <t xml:space="preserve"> związanego z profilaktyką, rozwiązywaniem problemów i przeciwdziałaniem alkoholizmowi - Zadanie realizowane przez</t>
    </r>
    <r>
      <rPr>
        <b/>
        <sz val="18"/>
        <rFont val="Times New Roman"/>
        <family val="1"/>
        <charset val="238"/>
      </rPr>
      <t xml:space="preserve"> MOPS w Łęcznej.</t>
    </r>
  </si>
  <si>
    <t>POZOSTAŁE ZADANIA W ZAKRESIE POLITYKI SPOŁECZNEJ</t>
  </si>
  <si>
    <r>
      <t xml:space="preserve">Organizacja koncertu z okazji Dnia Seniora </t>
    </r>
    <r>
      <rPr>
        <i/>
        <sz val="18"/>
        <rFont val="Times New Roman"/>
        <family val="1"/>
        <charset val="238"/>
      </rPr>
      <t xml:space="preserve">(wniosek Uniwersytetu Trzeciego Wieku) </t>
    </r>
    <r>
      <rPr>
        <sz val="18"/>
        <rFont val="Times New Roman"/>
        <family val="1"/>
        <charset val="238"/>
      </rPr>
      <t xml:space="preserve"> - </t>
    </r>
    <r>
      <rPr>
        <b/>
        <sz val="18"/>
        <rFont val="Times New Roman"/>
        <family val="1"/>
        <charset val="238"/>
      </rPr>
      <t>dotacja dla Centrum Kultury w Łęcznej</t>
    </r>
  </si>
  <si>
    <t>XVI Ogólnopolski Turniej Tańca Nowoczesnego o Puchar Burmistrza Łęcznej</t>
  </si>
  <si>
    <t>Spotkania z X Muzą - cykliczne projekcje filmów dla dzieci, młodzieży i dorosłych</t>
  </si>
  <si>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zakup agregatu prądotwórczego i taboretu gazowego</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</si>
  <si>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dożynki, festyn kulturalny (catering)</t>
    </r>
  </si>
  <si>
    <r>
      <t xml:space="preserve">Dofinansowanie spółki Wirtualne Powiaty 3 sp.z o.o. w drodze wniesienia wkładów pieniężnych celem objęcia udziałów w spółce - </t>
    </r>
    <r>
      <rPr>
        <b/>
        <sz val="18"/>
        <rFont val="Times New Roman"/>
        <family val="1"/>
        <charset val="238"/>
      </rPr>
      <t>WPF -wydatki majątkowe</t>
    </r>
  </si>
  <si>
    <t>Założenie i utrzymanie stron internetowych Rad Osiedli Gminy Łęczna</t>
  </si>
  <si>
    <t>Modernizacja, zakup, uzupełnienie,  konserwacja  i wymiana oznakowania drogowego oraz urządzeń bezpieczeństwa ruchu</t>
  </si>
  <si>
    <t>Malowanie poziome nawierzchni dróg gminnych</t>
  </si>
  <si>
    <r>
      <rPr>
        <b/>
        <sz val="18"/>
        <rFont val="Times New Roman CE"/>
        <charset val="238"/>
      </rPr>
      <t>Fundusz sołecki - Sołectwo Rossosz</t>
    </r>
    <r>
      <rPr>
        <sz val="18"/>
        <rFont val="Times New Roman CE"/>
        <family val="1"/>
        <charset val="238"/>
      </rPr>
      <t xml:space="preserve"> -  zakup kruszywa  na remont drogi   Nr 105189L   w m. Rossosz</t>
    </r>
  </si>
  <si>
    <r>
      <rPr>
        <b/>
        <sz val="18"/>
        <rFont val="Times New Roman CE"/>
        <charset val="238"/>
      </rPr>
      <t xml:space="preserve">Fundusz sołecki - Sołectwo Zakrzów </t>
    </r>
    <r>
      <rPr>
        <sz val="18"/>
        <rFont val="Times New Roman CE"/>
        <charset val="238"/>
      </rPr>
      <t xml:space="preserve"> - zakup kruszywa z recyklingu na drogę nr 105196L w m. Zakrzów </t>
    </r>
  </si>
  <si>
    <r>
      <rPr>
        <b/>
        <sz val="18"/>
        <rFont val="Times New Roman CE"/>
        <charset val="238"/>
      </rPr>
      <t>Fundusz sołecki - Sołectwo Leopoldów -</t>
    </r>
    <r>
      <rPr>
        <sz val="18"/>
        <rFont val="Times New Roman CE"/>
        <charset val="238"/>
      </rPr>
      <t xml:space="preserve"> uzupełnienie asfaltu lanego z położeniem na drogę gminną dz. Nr 57 -w m. Leopoldów</t>
    </r>
  </si>
  <si>
    <r>
      <rPr>
        <b/>
        <sz val="18"/>
        <rFont val="Times New Roman CE"/>
        <charset val="238"/>
      </rPr>
      <t>Fundusz sołecki - Sołectwo Nowogród</t>
    </r>
    <r>
      <rPr>
        <sz val="18"/>
        <rFont val="Times New Roman CE"/>
        <charset val="238"/>
      </rPr>
      <t xml:space="preserve"> - zakup kruszywa drogowego na drogę o nr 105184L  w m. Nowogród</t>
    </r>
  </si>
  <si>
    <r>
      <rPr>
        <b/>
        <sz val="18"/>
        <rFont val="Times New Roman CE"/>
        <charset val="238"/>
      </rPr>
      <t xml:space="preserve">Fundusz sołecki - Sołectwo Nowogród </t>
    </r>
    <r>
      <rPr>
        <sz val="18"/>
        <rFont val="Times New Roman CE"/>
        <charset val="238"/>
      </rPr>
      <t>-   naprawa drogi o nr 105199L   technologią asfaltu lanego w m. Nowogród</t>
    </r>
  </si>
  <si>
    <t>Drogi wewnętrzne</t>
  </si>
  <si>
    <t xml:space="preserve">Zimowe utrzymanie dróg i ulic wewnętrznych na terenie miasta  i gminy Łęczna w 2020 roku </t>
  </si>
  <si>
    <t>Zimowe utrzymanie chodników i placów przy drogach wewnętrznych na terenie miasta Łęczna w roku 2020</t>
  </si>
  <si>
    <t>Oczyszczanie przykrawężnikowe dróg wewnętrznych</t>
  </si>
  <si>
    <r>
      <rPr>
        <b/>
        <sz val="18"/>
        <rFont val="Times New Roman CE"/>
        <charset val="238"/>
      </rPr>
      <t>Fundusz sołecki - Sołectwo Stara Wieś Kolonia  -</t>
    </r>
    <r>
      <rPr>
        <sz val="18"/>
        <rFont val="Times New Roman CE"/>
        <family val="1"/>
        <charset val="238"/>
      </rPr>
      <t xml:space="preserve"> Zakup kruszywa na remont drogi gminnej działka Nr 255  w m. Stara Wieś Kolonia </t>
    </r>
  </si>
  <si>
    <r>
      <rPr>
        <b/>
        <sz val="18"/>
        <rFont val="Times New Roman CE"/>
        <charset val="238"/>
      </rPr>
      <t>Fundusz sołecki - Sołectwo Łuszczów Kolonia -</t>
    </r>
    <r>
      <rPr>
        <sz val="18"/>
        <rFont val="Times New Roman CE"/>
        <charset val="238"/>
      </rPr>
      <t xml:space="preserve"> Zakup kruszywa drogowego mineralnego na remont dróg położonych w obrębie wsi Łuszczów Kol. Dz. Nr 187, 66, 32</t>
    </r>
  </si>
  <si>
    <r>
      <t>Utrzymanie terenów zielonych (</t>
    </r>
    <r>
      <rPr>
        <i/>
        <sz val="18"/>
        <rFont val="Times New Roman CE"/>
        <charset val="238"/>
      </rPr>
      <t>w tym: koszenie terenów zielonych, nasadzenia kwiatów, krzewów i dzrew, zabiegi konserwacyjne drzewostanu, zakup materiałów i usług niezbędnych do zachowania estetyki wyglądu trawników, rabat, żywopłotów i innych form zielonych</t>
    </r>
    <r>
      <rPr>
        <sz val="18"/>
        <rFont val="Times New Roman CE"/>
        <family val="1"/>
        <charset val="238"/>
      </rPr>
      <t xml:space="preserve">). </t>
    </r>
  </si>
  <si>
    <t>Utrzymanie zieleni na Placu Powstań Narodowych w Łęcznej</t>
  </si>
  <si>
    <t>Wykonywanie oprysków środkami chwastobójczymi na terenie miasta i gminy Łęczna</t>
  </si>
  <si>
    <t xml:space="preserve">Pielęgnacja pomników przyrody (zabiegi, dokumentacja) </t>
  </si>
  <si>
    <r>
      <rPr>
        <b/>
        <sz val="18"/>
        <rFont val="Times New Roman"/>
        <family val="1"/>
        <charset val="238"/>
      </rPr>
      <t>Fundusz sołecki _ Sołectwo Podzamcze</t>
    </r>
    <r>
      <rPr>
        <sz val="18"/>
        <rFont val="Times New Roman"/>
        <family val="1"/>
        <charset val="238"/>
      </rPr>
      <t xml:space="preserve"> - wykonanie części oświetlenia (prac ziemnych ustawienia słupów) drogi gminnej  zgodnie z  Projektem Budowlano-Wykonawczym oświetlenia drogi gminnej 105177L w Podzamczu</t>
    </r>
  </si>
  <si>
    <r>
      <rPr>
        <b/>
        <sz val="18"/>
        <rFont val="Times New Roman CE"/>
        <charset val="238"/>
      </rPr>
      <t>Fundusz sołecki - Sołectwo Ciechanki Krzesimowskie -</t>
    </r>
    <r>
      <rPr>
        <sz val="18"/>
        <rFont val="Times New Roman CE"/>
        <family val="1"/>
        <charset val="238"/>
      </rPr>
      <t xml:space="preserve"> doposażenie siłowni na świeżym powietrzu wybudowanej w roku 2019 </t>
    </r>
  </si>
  <si>
    <t xml:space="preserve">Udział gminy Łęczna w Alercie Ekologicznym </t>
  </si>
  <si>
    <r>
      <t xml:space="preserve">Budowa ulic łączących drogę krajową Nr 82 z ulicą Wierzbową i ulicą Książy Wrześniewskich w Łęcznej (dokumentacja  techniczna) - </t>
    </r>
    <r>
      <rPr>
        <b/>
        <sz val="18"/>
        <rFont val="Times New Roman CE"/>
        <charset val="238"/>
      </rPr>
      <t>WPF</t>
    </r>
  </si>
  <si>
    <t>Raport potwierdzający osiągnięcie efektu ekologicznego dla projektów dotyczących termomodernizacji budynków placówek oświatowych w Łęcznej</t>
  </si>
  <si>
    <r>
      <rPr>
        <sz val="18"/>
        <rFont val="Times New Roman"/>
        <family val="1"/>
        <charset val="238"/>
      </rPr>
      <t>Rewitalizacja zespołu dworsko-parkowego Podzamcze - II etap"</t>
    </r>
    <r>
      <rPr>
        <b/>
        <sz val="18"/>
        <rFont val="Times New Roman"/>
        <family val="1"/>
        <charset val="238"/>
      </rPr>
      <t xml:space="preserve"> - WPF</t>
    </r>
  </si>
  <si>
    <t>malowanie klatek schodowych, korytarzy oraz pomieszczeń wspólnych</t>
  </si>
  <si>
    <t>białkowanie piwnic</t>
  </si>
  <si>
    <t>Podzamcze 20</t>
  </si>
  <si>
    <t xml:space="preserve">krycie papą termozgrzewalną dachu nad lokalami nr 1 i 2 </t>
  </si>
  <si>
    <t>koszty związane z przeprowadzeniem kontroli podatkowych (zalecenie pokontrolne RIO - opłacenie rzeczoznawców, biegłych, których opinie i operaty niezbędne są jako dowód w postępowaniu kontrolnym)</t>
  </si>
  <si>
    <t>Bieżące utrzymanie monitoringu (konserwacja, naprawa, opłata abonencka za korzystanie ze światłowodów itp.)</t>
  </si>
  <si>
    <r>
      <t xml:space="preserve">Kredyt z </t>
    </r>
    <r>
      <rPr>
        <b/>
        <sz val="18"/>
        <rFont val="Times New Roman"/>
        <family val="1"/>
        <charset val="238"/>
      </rPr>
      <t>BGK</t>
    </r>
    <r>
      <rPr>
        <sz val="18"/>
        <rFont val="Times New Roman"/>
        <family val="1"/>
        <charset val="238"/>
      </rPr>
      <t xml:space="preserve"> z  przeznaczeniem na finansowanie planowanego deficytu budżetu Gminy Łęczna w roku 2018</t>
    </r>
  </si>
  <si>
    <r>
      <t xml:space="preserve">Projekt </t>
    </r>
    <r>
      <rPr>
        <b/>
        <sz val="18"/>
        <rFont val="Times New Roman"/>
        <family val="1"/>
        <charset val="238"/>
      </rPr>
      <t xml:space="preserve">"Nowa jakość życia - rozwój usług społecznych świadczonych w społeczności lokalnej w Gminie Łęczna" </t>
    </r>
    <r>
      <rPr>
        <sz val="18"/>
        <rFont val="Times New Roman"/>
        <family val="1"/>
        <charset val="238"/>
      </rPr>
      <t xml:space="preserve">realizowany przez </t>
    </r>
    <r>
      <rPr>
        <b/>
        <sz val="18"/>
        <rFont val="Times New Roman"/>
        <family val="1"/>
        <charset val="238"/>
      </rPr>
      <t>Łęczyńskie Stowarzyszenie Inicjatyw Społecznych</t>
    </r>
  </si>
  <si>
    <r>
      <t xml:space="preserve">Projekt </t>
    </r>
    <r>
      <rPr>
        <b/>
        <sz val="18"/>
        <rFont val="Times New Roman"/>
        <family val="1"/>
        <charset val="238"/>
      </rPr>
      <t>"Gry na inteligencję kiedyś i w przyszłości - poznaj pokolenie Z"</t>
    </r>
    <r>
      <rPr>
        <sz val="18"/>
        <rFont val="Times New Roman"/>
        <family val="1"/>
        <charset val="238"/>
      </rPr>
      <t xml:space="preserve"> realizowany w ramach programu Unii Europejskiej Erazmus+ (projekt realizowany przez </t>
    </r>
    <r>
      <rPr>
        <b/>
        <sz val="18"/>
        <rFont val="Times New Roman"/>
        <family val="1"/>
        <charset val="238"/>
      </rPr>
      <t>Szkołę Podstawową  Nr 4 w Łęcznej</t>
    </r>
    <r>
      <rPr>
        <sz val="18"/>
        <rFont val="Times New Roman"/>
        <family val="1"/>
        <charset val="238"/>
      </rPr>
      <t xml:space="preserve">) - </t>
    </r>
    <r>
      <rPr>
        <b/>
        <sz val="18"/>
        <rFont val="Times New Roman"/>
        <family val="1"/>
        <charset val="238"/>
      </rPr>
      <t>WPF</t>
    </r>
  </si>
  <si>
    <t xml:space="preserve">- pozostałe wydatki bieżące </t>
  </si>
  <si>
    <t>Wynagrodzenie pracowników zatrudnionych w referacie GKiOŚ</t>
  </si>
  <si>
    <t>Zwrot do LUW w Lublinie niesłusznie pobranych świadczeń, zasiłków wraz z odsetkami</t>
  </si>
  <si>
    <t xml:space="preserve">Zimowe utrzymanie dróg i ulic gminnych na terenie miasta  i gminy Łęczna w 2020 roku </t>
  </si>
  <si>
    <t>Zimowe utrzymanie chodników i placów przy drogach publicznych na terenie miasta Łęczna w 2020 roku</t>
  </si>
  <si>
    <t>Oczyszczanie przykrawężnikowe dróg i ulic publicznych</t>
  </si>
  <si>
    <t>Koszty związane z postępowaniem sądowym - sprawa Pani I. Bancerz</t>
  </si>
  <si>
    <r>
      <t xml:space="preserve">Wydatki związane z zakupem wsparcia technicznego dla systemu </t>
    </r>
    <r>
      <rPr>
        <b/>
        <sz val="18"/>
        <rFont val="Times New Roman"/>
        <family val="1"/>
        <charset val="238"/>
      </rPr>
      <t xml:space="preserve">eSesja - </t>
    </r>
    <r>
      <rPr>
        <sz val="18"/>
        <rFont val="Times New Roman"/>
        <family val="1"/>
        <charset val="238"/>
      </rPr>
      <t>utrzymanie systemu</t>
    </r>
  </si>
  <si>
    <t>Koszty związane z wydaniem interpretacji indywidualnej dotyczącej podatku od towarów i usług, centralizacją podatku VAT w Gminie Łęczna, doradztwo w zakresie VAT</t>
  </si>
  <si>
    <t>Wysokość rezerwy została ustalona zgodnie z art. 26 ust. 4 ustawy z dnia 26.04.2007 roku o zarządzaniu kryzysowym. Przepis ten nakłada na Gminę obowiązek utworzenia rezerwy w wysokości nie mniejszej niż 0,5% wydatków budżetu jst, pomniejszonych o wydatki inwestycyjne, na wynagrodzenia, pochodne od wynagrodzeń oraz na obsługę długu.</t>
  </si>
  <si>
    <t>Dowożenie uczniów do Szkoły Podstawowej w Zofiówce,  Ośrodka Rewalidacyjno-Wychowawczego w Łęcznej, Specjalistycznego Ośrodka Szkolno-Wychowawczego w Bystrzycy, Specjalnego Ośrodka Szkolno-Wychowawczego w Kozicach Dolnych oraz szkół i ośrodków w Lublinie - Szkoły Podstawowej Specjalnej nr 26, Branżowej Szkoły Wielozawodowej Specjalnej I stopnia Nr 2, Specjalnego Ośrodka Szkolno-Wychowawczego dla Dzieci i Młodzieży Niepełnosprawnych</t>
  </si>
  <si>
    <t>h)</t>
  </si>
  <si>
    <t>- wydatki bieżące</t>
  </si>
  <si>
    <t>- wydatki inwestycyjne</t>
  </si>
  <si>
    <r>
      <rPr>
        <b/>
        <sz val="18"/>
        <rFont val="Times New Roman"/>
        <family val="1"/>
        <charset val="238"/>
      </rPr>
      <t>Środki samorządowe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wypłatę zasiłków</t>
    </r>
  </si>
  <si>
    <t>Środki samorządowe na wypłatę dodatków mieszkaniowych</t>
  </si>
  <si>
    <t xml:space="preserve">- wydatki bieżące </t>
  </si>
  <si>
    <t xml:space="preserve">- wydatki inwestycyjne </t>
  </si>
  <si>
    <t>Naprawa uszkodzonych , montaż oraz opłaty za umieszczenie w pasie drogi krajowej nr 82 zewnętrznych iluminacji świetlnych</t>
  </si>
  <si>
    <t>Termomodernizacja budynku Szkoły Podstawowej Nr 4 w Łęcznej - opracowanie audytu energetycznego wraz z dokumentacją techniczną</t>
  </si>
  <si>
    <t>Wydatki finansowane z kar i opłat za gospodarcze korzystanie ze środowiska dotyczą tylko tych prac, które związane będą z osiągnięciem efektu ekologicznego.</t>
  </si>
  <si>
    <r>
      <t xml:space="preserve">Środki samorządowe dla </t>
    </r>
    <r>
      <rPr>
        <b/>
        <sz val="18"/>
        <rFont val="Times New Roman"/>
        <family val="1"/>
        <charset val="238"/>
      </rPr>
      <t xml:space="preserve">Miejskiego Ośrodka Pomocy Społecznej w Łęcznej </t>
    </r>
  </si>
  <si>
    <t>Wydatki finansowane z kar i opłat za gospodarcze korzystanie ze środowiska.</t>
  </si>
  <si>
    <t>Drogi publiczne powiatowe</t>
  </si>
  <si>
    <t>Udzielenie pomocy finansowej Powiatowi Łęczyńskiemu z przeznaczeniem na dofinansowanie inwestycji Powiatu Łęczyńskiego pn. Przebudowa drogi powiatowej nr 2003L w miejscowości Witaniów</t>
  </si>
  <si>
    <t>naprawa powłok tynkarskich w części piwnicznej wraz z białkowaniem</t>
  </si>
  <si>
    <r>
      <t xml:space="preserve">Zakup stołów i krzeseł świetlicowych wykorzystywanych na potrzeby społeczności lokalnej w trakcie spotkań, kursów i szkoleń - </t>
    </r>
    <r>
      <rPr>
        <b/>
        <sz val="18"/>
        <color rgb="FF00B0F0"/>
        <rFont val="Times New Roman"/>
        <family val="1"/>
        <charset val="238"/>
      </rPr>
      <t>zadanie realizowane w ramach Budżetu Osiedlowego Osiedla Stare Miasto</t>
    </r>
  </si>
  <si>
    <r>
      <t xml:space="preserve">Montaż 3 progów zwalniających na ul. Słoneczna i ul. Różana - </t>
    </r>
    <r>
      <rPr>
        <b/>
        <sz val="18"/>
        <color rgb="FF00B0F0"/>
        <rFont val="Times New Roman CE"/>
        <charset val="238"/>
      </rPr>
      <t>zadanie realizowane w ramach Budżetu Osiedlowego Osiedla Słoneczne</t>
    </r>
  </si>
  <si>
    <r>
      <t>Uporządkowanie drogi gminnej bocznej do drogi krajowej nr 82 poprzez wykarczowanie krzaków oraz utwardzenie pobocza za stacją transformatorową i składem budowlanym -</t>
    </r>
    <r>
      <rPr>
        <b/>
        <sz val="18"/>
        <color rgb="FF00B0F0"/>
        <rFont val="Times New Roman CE"/>
        <charset val="238"/>
      </rPr>
      <t xml:space="preserve"> zadanie realizowane w ramach Budżetu Osiedlowego Osiedla Kol. Trębaczów</t>
    </r>
  </si>
  <si>
    <r>
      <t xml:space="preserve">Zakup trybun teleskopowych z siedziskami do amfiteatru w Łęcznej wraz z wózkiem do ich przewozu i miejsca do ich przechowywania -  </t>
    </r>
    <r>
      <rPr>
        <b/>
        <sz val="18"/>
        <color rgb="FF00B0F0"/>
        <rFont val="Times New Roman"/>
        <family val="1"/>
        <charset val="238"/>
      </rPr>
      <t>zadanie realizowane w ramach Budżetu Osiedlowego Osiedla Samsonowicza</t>
    </r>
  </si>
  <si>
    <t>na niebiesko oznaczono plan wydatków finansowanych w ramach budżetu osiedlowego</t>
  </si>
  <si>
    <r>
      <t xml:space="preserve">"Zakątek relaksu"; stworzenie mini parku z urządzeniami rekreacyjnymi dla dzieci i dorosłych; stworzenie miejsca odpoczynku wraz ze stojakami na rowery, nowe nasadzenia zieleni - </t>
    </r>
    <r>
      <rPr>
        <b/>
        <sz val="18"/>
        <color rgb="FF00B0F0"/>
        <rFont val="Times New Roman CE"/>
        <charset val="238"/>
      </rPr>
      <t>zadanie realizowane w ramach Budżetu Osiedlowego Osiedla Bobrowniki</t>
    </r>
  </si>
  <si>
    <r>
      <t xml:space="preserve">Wykonanie przyłączy energetycznych i zamontowanie 3 lamp w technologii LED na ulicy bocznej do ul. Bazarowej - </t>
    </r>
    <r>
      <rPr>
        <b/>
        <sz val="18"/>
        <color rgb="FF00B0F0"/>
        <rFont val="Times New Roman"/>
        <family val="1"/>
        <charset val="238"/>
      </rPr>
      <t>zadanie realizowane w ramach Budżetu Osiedlowego Osiedla Niepodległości</t>
    </r>
  </si>
  <si>
    <r>
      <t xml:space="preserve">Utwardzenie miejsc parkingowych na działce naprzeciwko wjazdu na ul. Bogdanowicza - </t>
    </r>
    <r>
      <rPr>
        <b/>
        <sz val="18"/>
        <color rgb="FF00B0F0"/>
        <rFont val="Times New Roman CE"/>
        <charset val="238"/>
      </rPr>
      <t>zadanie realizowane w ramach Budżetu Osiedlowego Osiedla Niepodległości</t>
    </r>
  </si>
  <si>
    <t>w tym kwota 60.000 zł przeznaczona na koszenie terenów zielonych; wydatek finansowany z kar i opłat za gospodarcze korzystanie ze środowiska</t>
  </si>
  <si>
    <r>
      <t xml:space="preserve">Zasianie łąki kwietnej z wieloma gatunkami roślin; poprawienie i wzbogacenie miejskiego ekosystemu, oczyszczanie powietrza i gleby z zanieczyszczeń, kumulującej wilgoć i dającej schronienie i pokarm dla pszczół i innych owadów - </t>
    </r>
    <r>
      <rPr>
        <b/>
        <sz val="18"/>
        <color rgb="FF00B050"/>
        <rFont val="Times New Roman"/>
        <family val="1"/>
        <charset val="238"/>
      </rPr>
      <t xml:space="preserve">zadanie realizowane z  ramach Zielonego Budżetu </t>
    </r>
  </si>
  <si>
    <r>
      <t xml:space="preserve">Organizacja 3 imprez plenerowych w mieście - </t>
    </r>
    <r>
      <rPr>
        <b/>
        <sz val="18"/>
        <color rgb="FF7030A0"/>
        <rFont val="Times New Roman"/>
        <family val="1"/>
        <charset val="238"/>
      </rPr>
      <t>zadanie realizowane w ramach Vicebudżetu</t>
    </r>
  </si>
  <si>
    <t>Wydawanie Biuletynu Informacyjnego Urzędu Miejskiego w Łęcznej</t>
  </si>
  <si>
    <t>Wydatki w wysokości 60.000 zł finansowane ze środków Fundacji ENEA</t>
  </si>
  <si>
    <r>
      <t xml:space="preserve">Środki dla </t>
    </r>
    <r>
      <rPr>
        <b/>
        <u/>
        <sz val="18"/>
        <rFont val="Times New Roman"/>
        <family val="1"/>
        <charset val="238"/>
      </rPr>
      <t>Szkoły Podstawowej Nr 2 w Łęczne</t>
    </r>
    <r>
      <rPr>
        <b/>
        <sz val="18"/>
        <rFont val="Times New Roman"/>
        <family val="1"/>
        <charset val="238"/>
      </rPr>
      <t>j - utrzymanie basenu w Łęcznej oraz rehabilitacja ruchowa dzieci na basenie</t>
    </r>
  </si>
  <si>
    <t>naprawa uziemienia ochronnego do lokali w budynku oraz naprawa uziemienia głównego</t>
  </si>
  <si>
    <r>
      <t xml:space="preserve">Zakup i wdrożenie programu do obsługi miejscowych planów zagospodarowania przestrzennego Gminy Łęczna - </t>
    </r>
    <r>
      <rPr>
        <b/>
        <sz val="18"/>
        <color indexed="8"/>
        <rFont val="Times New Roman"/>
        <family val="1"/>
        <charset val="238"/>
      </rPr>
      <t>digitalizacja MPZP Gminy Łęczna</t>
    </r>
  </si>
  <si>
    <t>Wydatki rzeczowe na utrzymanie jednostek pomocniczych gminy (całoroczna prenumerata Gazety Sołeckiej dla sołtysów 16 sołectw)</t>
  </si>
  <si>
    <t>energia elektryczna</t>
  </si>
  <si>
    <t xml:space="preserve">ogrzewanie budynków (zakup energii cieplnej, gaz) </t>
  </si>
  <si>
    <t>woda i odprowadzanie ścieków</t>
  </si>
  <si>
    <t>wywóz nieczystości stałych i dzierżawa kontenerów na śmieci</t>
  </si>
  <si>
    <t>akcesoria komputerowe, modernizacja posiadanych komputerów, części zamienne do urządzeń biurowych</t>
  </si>
  <si>
    <t xml:space="preserve">niszczenie dokumentacji z archiwum zakładowego </t>
  </si>
  <si>
    <t xml:space="preserve">opłaty za telefony komórkowe </t>
  </si>
  <si>
    <t xml:space="preserve">podatek od towarów i usług VAT </t>
  </si>
  <si>
    <t>- wydatki bieżące - środki na wydatki realizowane przez Łęczyńskie Stowarzyszenie Inicjatyw Społecznych w Łęcznej</t>
  </si>
  <si>
    <t>3). wydatki na inwestycje</t>
  </si>
  <si>
    <r>
      <t xml:space="preserve">Rewitalizacja Starego Miasta w Łęcznej - II etap - </t>
    </r>
    <r>
      <rPr>
        <b/>
        <sz val="18"/>
        <color indexed="8"/>
        <rFont val="Times New Roman"/>
        <family val="1"/>
        <charset val="238"/>
      </rPr>
      <t>WPF</t>
    </r>
  </si>
  <si>
    <t xml:space="preserve">kredyt </t>
  </si>
  <si>
    <t>wolne środki - ?????</t>
  </si>
  <si>
    <t>Udział Gminy Łęczna w stowarzyszeniach - składki członkowskie w LGD Polesie, Euroregion Bug, Na rzecz wzmacniania spójności  Szlaku Jana III Sobieskiego</t>
  </si>
  <si>
    <t>POKRYCIE RÓŻNICY</t>
  </si>
  <si>
    <r>
      <rPr>
        <b/>
        <sz val="18"/>
        <rFont val="Times New Roman CE"/>
        <charset val="238"/>
      </rPr>
      <t xml:space="preserve">Fundusz sołecki -Sołectwo Witaniów </t>
    </r>
    <r>
      <rPr>
        <sz val="18"/>
        <rFont val="Times New Roman CE"/>
        <charset val="238"/>
      </rPr>
      <t xml:space="preserve">-  zakup kruszywa na drogi gminne na terenie sołectwa Witaniów </t>
    </r>
  </si>
  <si>
    <r>
      <rPr>
        <b/>
        <sz val="18"/>
        <rFont val="Times New Roman CE"/>
        <charset val="238"/>
      </rPr>
      <t xml:space="preserve">Fundusz sołecki - Sołectwo Trębaczów </t>
    </r>
    <r>
      <rPr>
        <sz val="18"/>
        <rFont val="Times New Roman CE"/>
        <charset val="238"/>
      </rPr>
      <t xml:space="preserve">- wykonanie nawierzchni asfaltowej na częci drogi gminnej Nr 105192L </t>
    </r>
  </si>
  <si>
    <r>
      <rPr>
        <b/>
        <sz val="18"/>
        <rFont val="Times New Roman CE"/>
        <charset val="238"/>
      </rPr>
      <t>Fundusz sołecki - Sołectwo Stara Wieś</t>
    </r>
    <r>
      <rPr>
        <sz val="18"/>
        <rFont val="Times New Roman CE"/>
        <charset val="238"/>
      </rPr>
      <t xml:space="preserve"> - modernizacja nawierzchni drogi gminnej na działce Nr 691 w m. Stara  Wieś</t>
    </r>
  </si>
  <si>
    <r>
      <rPr>
        <b/>
        <sz val="18"/>
        <rFont val="Times New Roman CE"/>
        <charset val="238"/>
      </rPr>
      <t xml:space="preserve">Fundusz sołecki - Sołectwo Karolin </t>
    </r>
    <r>
      <rPr>
        <sz val="18"/>
        <rFont val="Times New Roman CE"/>
        <charset val="238"/>
      </rPr>
      <t>- Zakup kruszywa - recykling - z przeróbki betonu, kruszywa mineralnego drogowego na remont drogi - działki nr 12 położonej w obrębie wsi Karolin</t>
    </r>
  </si>
  <si>
    <r>
      <rPr>
        <b/>
        <sz val="18"/>
        <rFont val="Times New Roman CE"/>
        <charset val="238"/>
      </rPr>
      <t xml:space="preserve">Fundusz sołecki - Sołectwo Stara Wieś - Stasin </t>
    </r>
    <r>
      <rPr>
        <sz val="18"/>
        <rFont val="Times New Roman CE"/>
        <charset val="238"/>
      </rPr>
      <t>- Modernizacja drogi gminnej na działkach nr 667, 697 w technologii asfaltu lanego  (kontynuacja zadania z lat poprzednich)</t>
    </r>
  </si>
  <si>
    <r>
      <rPr>
        <b/>
        <sz val="18"/>
        <rFont val="Times New Roman CE"/>
        <charset val="238"/>
      </rPr>
      <t>Fundusz sołecki - Sołectwo Piotrówek Drugi</t>
    </r>
    <r>
      <rPr>
        <sz val="18"/>
        <rFont val="Times New Roman CE"/>
        <charset val="238"/>
      </rPr>
      <t xml:space="preserve"> - Zakup kruszywa na  drogę, działka nr 92, 74 w Piotrówku Drugim</t>
    </r>
  </si>
  <si>
    <r>
      <rPr>
        <b/>
        <sz val="18"/>
        <rFont val="Times New Roman"/>
        <family val="1"/>
        <charset val="238"/>
      </rPr>
      <t>Fundusz sołecki - Sołectwo Zofiówka -</t>
    </r>
    <r>
      <rPr>
        <sz val="18"/>
        <rFont val="Times New Roman"/>
        <family val="1"/>
        <charset val="238"/>
      </rPr>
      <t xml:space="preserve"> kontynuacja budowy II etapu  oświetlenia przy drodze gminnej nr 105187L w Zofiówce w zakresie ułożenia kabli, posadowienia fundamentów pod słupy oraz montaż słupów oświetleniowych wg projektu </t>
    </r>
  </si>
  <si>
    <r>
      <rPr>
        <b/>
        <sz val="18"/>
        <rFont val="Times New Roman CE"/>
        <charset val="238"/>
      </rPr>
      <t>Fundusz sołecki - Sołectwo Ciechanki Łęczyńskie</t>
    </r>
    <r>
      <rPr>
        <sz val="18"/>
        <rFont val="Times New Roman CE"/>
        <charset val="238"/>
      </rPr>
      <t xml:space="preserve"> - zakup siatki ogrodzeniowej wraz ze słupkami i częściami na działkę nr 139/2 </t>
    </r>
  </si>
  <si>
    <r>
      <rPr>
        <b/>
        <sz val="18"/>
        <rFont val="Times New Roman CE"/>
        <charset val="238"/>
      </rPr>
      <t>Fundusz sołecki - Sołectwo Ciechanki Łęczyńskie</t>
    </r>
    <r>
      <rPr>
        <sz val="18"/>
        <rFont val="Times New Roman CE"/>
        <charset val="238"/>
      </rPr>
      <t xml:space="preserve"> - zakup roślin zielonych, krawężników i ziemi na działkę nr 139/2 </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</si>
  <si>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Łuszczów Kolonia </t>
    </r>
    <r>
      <rPr>
        <sz val="18"/>
        <rFont val="Times New Roman"/>
        <family val="1"/>
        <charset val="238"/>
      </rPr>
      <t>- zorganizowanie warsztatów prezentujących podtrzymywanie dawnych tradycji ludowych</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</si>
  <si>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Zakrzów </t>
    </r>
    <r>
      <rPr>
        <sz val="18"/>
        <rFont val="Times New Roman"/>
        <family val="1"/>
        <charset val="238"/>
      </rPr>
      <t>- zakup stolików kuchennych kwadratowych 10 szt i krzeseł kuchennych 40 szt</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</si>
  <si>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impreza dla dzieci z okazji Dnia Dziecka (fontanna czekoladowa, dmuchańce, animacja festynu, popcorn)</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</si>
  <si>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Piotrówek Drugi </t>
    </r>
    <r>
      <rPr>
        <sz val="18"/>
        <rFont val="Times New Roman"/>
        <family val="1"/>
        <charset val="238"/>
      </rPr>
      <t>- zakup namiotu ROYAL 5x10 i 2 zestawów biesiadnych</t>
    </r>
    <r>
      <rPr>
        <i/>
        <sz val="18"/>
        <rFont val="Times New Roman"/>
        <family val="1"/>
        <charset val="238"/>
      </rPr>
      <t xml:space="preserve"> (1 zestaw - 1 stół + 2 ławki)</t>
    </r>
  </si>
  <si>
    <r>
      <rPr>
        <b/>
        <sz val="18"/>
        <rFont val="Times New Roman"/>
        <family val="1"/>
        <charset val="238"/>
      </rPr>
      <t>Fundusz Sołecki</t>
    </r>
    <r>
      <rPr>
        <sz val="18"/>
        <rFont val="Times New Roman"/>
        <family val="1"/>
        <charset val="238"/>
      </rPr>
      <t xml:space="preserve"> - </t>
    </r>
    <r>
      <rPr>
        <b/>
        <sz val="18"/>
        <rFont val="Times New Roman"/>
        <family val="1"/>
        <charset val="238"/>
      </rPr>
      <t>Sołectwo Zakrzów</t>
    </r>
    <r>
      <rPr>
        <sz val="18"/>
        <rFont val="Times New Roman"/>
        <family val="1"/>
        <charset val="238"/>
      </rPr>
      <t>- zakup stołu bilardowego i stołu do tenisa stołowego</t>
    </r>
  </si>
  <si>
    <t>Dotacja dla OSP w Łęcznej z przeznaczeniem na dofinansowanie zakupu samochodu ratowniczo- gaśniczego 4x4 kategorii 2 (uterenowiony) wraz z wyposażeniem</t>
  </si>
  <si>
    <r>
      <t>Realizacja projektu</t>
    </r>
    <r>
      <rPr>
        <b/>
        <sz val="18"/>
        <rFont val="Times New Roman"/>
        <family val="1"/>
        <charset val="238"/>
      </rPr>
      <t xml:space="preserve"> "Program aktywizacji społeczno-zawodowej - Łęczna, Cyców, Milejów" </t>
    </r>
    <r>
      <rPr>
        <sz val="18"/>
        <rFont val="Times New Roman"/>
        <family val="1"/>
        <charset val="238"/>
      </rPr>
      <t xml:space="preserve">przez </t>
    </r>
    <r>
      <rPr>
        <b/>
        <sz val="18"/>
        <rFont val="Times New Roman"/>
        <family val="1"/>
        <charset val="238"/>
      </rPr>
      <t>Miejski Ośrodek Pomocy Społecznej w Łęcznej - WPF</t>
    </r>
  </si>
  <si>
    <r>
      <t xml:space="preserve"> -Realizacja projektu: </t>
    </r>
    <r>
      <rPr>
        <b/>
        <sz val="18"/>
        <rFont val="Times New Roman"/>
        <family val="1"/>
        <charset val="238"/>
      </rPr>
      <t>"Nowa jakość życia - rozwój usług świadczonych w społeczności lokalnej w Gminie Łęczna"</t>
    </r>
    <r>
      <rPr>
        <sz val="18"/>
        <rFont val="Times New Roman"/>
        <family val="1"/>
        <charset val="238"/>
      </rPr>
      <t xml:space="preserve"> przez</t>
    </r>
    <r>
      <rPr>
        <b/>
        <sz val="18"/>
        <rFont val="Times New Roman"/>
        <family val="1"/>
        <charset val="238"/>
      </rPr>
      <t xml:space="preserve"> Środowiskowy Dom Samopomocy w Łęcznej - WPF</t>
    </r>
  </si>
  <si>
    <t xml:space="preserve">1). wynagrodzenia osobowe i pochodne </t>
  </si>
  <si>
    <t>2). wydatki na realizację zadań statutowych</t>
  </si>
  <si>
    <r>
      <t xml:space="preserve">Opracowanie Strategii Rozwoju Elektromobilności dla Gminy Łęczna - </t>
    </r>
    <r>
      <rPr>
        <b/>
        <sz val="18"/>
        <rFont val="Times New Roman CE"/>
        <charset val="238"/>
      </rPr>
      <t>WPF</t>
    </r>
    <r>
      <rPr>
        <sz val="18"/>
        <rFont val="Times New Roman CE"/>
        <charset val="238"/>
      </rPr>
      <t xml:space="preserve"> (zadanie finansowane z NFOŚiGW w Warszawie)</t>
    </r>
  </si>
  <si>
    <t>Aktualizacja dokumentacji technicznej remontu ulicy Wiklinowej w Łęcznej</t>
  </si>
  <si>
    <t>Budowa oświetlenia drogowego w miejscowości Podzamcze</t>
  </si>
  <si>
    <t>Odbudowa obelisku Marszałka Józefa Piłsudskiego na Placu Kościuszki w Łęcznej</t>
  </si>
  <si>
    <t>Zakup oprogramowania do monitoringu opłat w zakresie gospodarki odpadami komunalnymi</t>
  </si>
  <si>
    <t>Budowa parkingu wraz z infrastrukturą techniczną w Parku Podzamcze</t>
  </si>
  <si>
    <r>
      <t xml:space="preserve">Zakup ozdób świątecznych na Rynek I -  </t>
    </r>
    <r>
      <rPr>
        <b/>
        <sz val="18"/>
        <color rgb="FF00B0F0"/>
        <rFont val="Times New Roman CE"/>
        <charset val="238"/>
      </rPr>
      <t>zadanie realizowane w ramach Budżetu Osiedlowego Osiedla Stare Miasto</t>
    </r>
  </si>
  <si>
    <r>
      <t xml:space="preserve">Zapewnienie mieszkańcom otwartego dostepu do zajeć sportowo-rekreacyjnych organizowanych na otwartych i dostepnych przestrzeniach publicznych łącznie z obiektami sportowymi </t>
    </r>
    <r>
      <rPr>
        <i/>
        <sz val="18"/>
        <rFont val="Times New Roman"/>
        <family val="1"/>
        <charset val="238"/>
      </rPr>
      <t>(luty-listopad, ok. 70 h zajęć)</t>
    </r>
  </si>
  <si>
    <t>Środki na realizację Ogólnopolskiego Programu Edukacyjnego "Al.Schools&amp;Academy" - I edycja 2019/2020 - wynagrodzenia dla pracowników SzP Nr 4 w Łęcznej</t>
  </si>
  <si>
    <r>
      <t xml:space="preserve">Wrzosowa 3 nr 12 - </t>
    </r>
    <r>
      <rPr>
        <sz val="18"/>
        <color indexed="8"/>
        <rFont val="Times New Roman"/>
        <family val="1"/>
        <charset val="238"/>
      </rPr>
      <t>utrzymanie lokalu mieszkalnego -komunalnego (</t>
    </r>
    <r>
      <rPr>
        <i/>
        <sz val="18"/>
        <color indexed="8"/>
        <rFont val="Times New Roman"/>
        <family val="1"/>
        <charset val="238"/>
      </rPr>
      <t>w tym: opłaty czynszowe za lokal, refundowane przez najemców</t>
    </r>
    <r>
      <rPr>
        <sz val="18"/>
        <color indexed="8"/>
        <rFont val="Times New Roman"/>
        <family val="1"/>
        <charset val="238"/>
      </rPr>
      <t>)</t>
    </r>
  </si>
  <si>
    <t>Realizacja projektu pn. "Specjalistyczne wsparcie dla administracji publicznej w 6 miastach z obszaru województwa lubelskiego"</t>
  </si>
  <si>
    <r>
      <t xml:space="preserve">Dotacja dla </t>
    </r>
    <r>
      <rPr>
        <b/>
        <sz val="18"/>
        <rFont val="Times New Roman"/>
        <family val="1"/>
        <charset val="238"/>
      </rPr>
      <t>Regionalnego Centrum Trzeźwości Maksymilian</t>
    </r>
    <r>
      <rPr>
        <sz val="18"/>
        <rFont val="Times New Roman"/>
        <family val="1"/>
        <charset val="238"/>
      </rPr>
      <t xml:space="preserve"> </t>
    </r>
  </si>
  <si>
    <r>
      <t xml:space="preserve">Dotacja dla </t>
    </r>
    <r>
      <rPr>
        <b/>
        <sz val="18"/>
        <rFont val="Times New Roman"/>
        <family val="1"/>
        <charset val="238"/>
      </rPr>
      <t>Stowarzyszenia MONAR</t>
    </r>
  </si>
  <si>
    <r>
      <t xml:space="preserve">Dotacja dla </t>
    </r>
    <r>
      <rPr>
        <b/>
        <sz val="18"/>
        <rFont val="Times New Roman"/>
        <family val="1"/>
        <charset val="238"/>
      </rPr>
      <t>Towarzystwa Przyjaciół Ziemi Łęczyńskiej</t>
    </r>
  </si>
  <si>
    <t>Środki przeznaczone na realizację zadania pn. Turniej Wiedzy o Łęcznej 2020</t>
  </si>
  <si>
    <t>Środki przeznaczone na realizację zadania pn. Izba Regionalna</t>
  </si>
  <si>
    <t xml:space="preserve">Środki przeznaczone na realizację zadania pn. Merkuriusz Łęczyński 2020 </t>
  </si>
  <si>
    <r>
      <t xml:space="preserve">Dotacja dla </t>
    </r>
    <r>
      <rPr>
        <b/>
        <sz val="18"/>
        <rFont val="Times New Roman"/>
        <family val="1"/>
        <charset val="238"/>
      </rPr>
      <t>Lubelskiego Klubu Karate Kyokushin</t>
    </r>
  </si>
  <si>
    <t>Środki przeznaczone na realizację zadania pn. Upowszechnianie kultury fizycznej wśród dzieci i młodzieży</t>
  </si>
  <si>
    <r>
      <t xml:space="preserve">Organizacja  "Dożynek  Gminnych" - 2020 rok  - </t>
    </r>
    <r>
      <rPr>
        <b/>
        <sz val="18"/>
        <rFont val="Times New Roman"/>
        <family val="1"/>
        <charset val="238"/>
      </rPr>
      <t>dotacja dla Centrum Kultury w Łęcznej</t>
    </r>
  </si>
  <si>
    <r>
      <t>Dotacja dla</t>
    </r>
    <r>
      <rPr>
        <b/>
        <sz val="18"/>
        <rFont val="Times New Roman"/>
        <family val="1"/>
        <charset val="238"/>
      </rPr>
      <t xml:space="preserve"> Łęczyńskiego Stowarzyszenia Twórców Kultury i Sztuki PLAMA</t>
    </r>
  </si>
  <si>
    <r>
      <t xml:space="preserve">Środki na zatrudnienie animatorów, wynajęcie dmuchańców, poczęstunek dla uczestników, wspólna integracja i zabawa, zakup projektora do kina plenerowego i ekranu, pokazy filmów dla dzieci i starszych osób w 3 lokalizacjach: amfiteatr, park Podzamcze, skwer międzyosiedlowy przy ul. Wierzbowej; </t>
    </r>
    <r>
      <rPr>
        <b/>
        <i/>
        <sz val="18"/>
        <color rgb="FF7030A0"/>
        <rFont val="Times New Roman"/>
        <family val="1"/>
        <charset val="238"/>
      </rPr>
      <t>40.000 zł przeznaczone na wydatki majątkowe</t>
    </r>
  </si>
  <si>
    <t>Uroczystości upamiętniające Łęczyńskich Bohaterów Września 1939 roku i Marsz Pamięci [Chrześcijan i Żydów]</t>
  </si>
  <si>
    <t>Wykonanie</t>
  </si>
  <si>
    <t>%</t>
  </si>
  <si>
    <t>WYNAGRODZENIA i SKŁADKI</t>
  </si>
  <si>
    <t xml:space="preserve">3). Wynagrodzenia nauczycieli za godziny ponadwymiarowe </t>
  </si>
  <si>
    <t xml:space="preserve">6). Pozostałe nagrody dla nauczycieli </t>
  </si>
  <si>
    <t xml:space="preserve">7). Zasiłki na zagospodarowanie nauczycieli </t>
  </si>
  <si>
    <t>9). Odprawy emerytalne i rentowe</t>
  </si>
  <si>
    <t xml:space="preserve">10). Odprawy z tytułu zwolnienia z pracy </t>
  </si>
  <si>
    <t xml:space="preserve">11). Pozostałe wynagrodzenia </t>
  </si>
  <si>
    <t xml:space="preserve">13). Nagrody dla pracowników administracji i obsługi </t>
  </si>
  <si>
    <t>14). Dodatkowe wynagrodzenie roczne tzw. "13"</t>
  </si>
  <si>
    <r>
      <t xml:space="preserve">15). Wynagrodzenia z tytułu umów zleceń i o dzieło </t>
    </r>
    <r>
      <rPr>
        <i/>
        <sz val="18"/>
        <rFont val="Times New Roman CE"/>
        <charset val="238"/>
      </rPr>
      <t>- 1 umowa</t>
    </r>
  </si>
  <si>
    <t>17). Składki na ubezpieczenie społeczne i fundusz pracy</t>
  </si>
  <si>
    <t>WYDATKI RZECZOWE</t>
  </si>
  <si>
    <t xml:space="preserve">1). Wypłaty pieniężne, świadczenia rzeczowe, ekwiwalenty pieniężne wynikające z przepisów dotyczących bezpieczeństwa i higieny pracy </t>
  </si>
  <si>
    <t xml:space="preserve">2). Pomoc zdrowotna dla nauczycieli </t>
  </si>
  <si>
    <t>3). Stypendia dla uczniów</t>
  </si>
  <si>
    <t xml:space="preserve">4). Inne formy pomocy dla uczniów </t>
  </si>
  <si>
    <t>5). Wpłaty na PFRON</t>
  </si>
  <si>
    <r>
      <t xml:space="preserve">6). Wydatki na remonty - </t>
    </r>
    <r>
      <rPr>
        <i/>
        <sz val="18"/>
        <rFont val="Times New Roman CE"/>
        <charset val="238"/>
      </rPr>
      <t>zakup materiałów do napraw</t>
    </r>
  </si>
  <si>
    <t>7).Środki dydaktyczne służące procesowi dydaktyczno-wychowawczemu realizowanemu w szkołach i placówkach oświatowych, książki i inne zbiory biblioteczne</t>
  </si>
  <si>
    <t xml:space="preserve">8). Meble, stoliki, krzesła, dywany przeznaczone na wyposażenie sal lekcyjnych i pracowni </t>
  </si>
  <si>
    <t>9). Wydatki na zakup środków czystości</t>
  </si>
  <si>
    <t>10). Zakup sprzętu komputerowego, drukarek nie służącego procesowi dydaktycznemu</t>
  </si>
  <si>
    <t>11). Wydatki na materiały biurowe i kancelaryjne, tonery</t>
  </si>
  <si>
    <t>12). Pozostałe meble, stoliki, krzesła, dywany zakupione na inny cel niż w punkcie 8.</t>
  </si>
  <si>
    <t>13). Wydatki na energię elektryczną, energię cieplną, gaz, woda</t>
  </si>
  <si>
    <t>14). Wywóz nieczystości i odprowadzenie ścieków</t>
  </si>
  <si>
    <t>15). Wydatki na ubezpieczenie majątku i osób</t>
  </si>
  <si>
    <t>16). Odpis na ZFŚS</t>
  </si>
  <si>
    <t>17). Zakup produktów żywnościowych (stołówki)</t>
  </si>
  <si>
    <t>18). Zakup materiałów, sprzętu i urządzeń na potrzeby stołówek szkolnych</t>
  </si>
  <si>
    <t>19). Wydatki na podróże służbowe krajowe i zagraniczne</t>
  </si>
  <si>
    <t>20). Wydatki na szkolenia pracowników</t>
  </si>
  <si>
    <t>WYDATKI INWESTYCYJNE</t>
  </si>
  <si>
    <r>
      <t xml:space="preserve">1). Wynagrodzenia osobowe nauczycieli </t>
    </r>
    <r>
      <rPr>
        <i/>
        <sz val="18"/>
        <rFont val="Times New Roman CE"/>
        <charset val="238"/>
      </rPr>
      <t>- 12 osób; 10,26 etatów</t>
    </r>
  </si>
  <si>
    <t xml:space="preserve">2). Wynagrodzenia nauczycieli przebywających na urlopach dla poratowania zdrowia </t>
  </si>
  <si>
    <r>
      <t xml:space="preserve">4). Wynagrodzenia nauczycieli za zastępstwa </t>
    </r>
    <r>
      <rPr>
        <i/>
        <sz val="18"/>
        <rFont val="Times New Roman CE"/>
        <charset val="238"/>
      </rPr>
      <t>- 404 godz. - 7 nauczycieli</t>
    </r>
  </si>
  <si>
    <t>5). Nagrody jubileuszowe dla nauczycieli</t>
  </si>
  <si>
    <t>8). Jednorazowe dodatki uzupełniające za 2019 rok</t>
  </si>
  <si>
    <r>
      <t>12). Wynagrodzenia pracowników administracji i obsługi</t>
    </r>
    <r>
      <rPr>
        <i/>
        <sz val="18"/>
        <rFont val="Times New Roman CE"/>
        <charset val="238"/>
      </rPr>
      <t xml:space="preserve"> - 9 osób,  8,67 etatu</t>
    </r>
  </si>
  <si>
    <r>
      <t xml:space="preserve">16). Pozostałe wynagrodzenia </t>
    </r>
    <r>
      <rPr>
        <i/>
        <sz val="18"/>
        <rFont val="Times New Roman CE"/>
        <charset val="238"/>
      </rPr>
      <t xml:space="preserve">- nagroda jubileuszowa, edprawa emerytalna </t>
    </r>
  </si>
  <si>
    <r>
      <t xml:space="preserve">21). Pozostałe wydatki bieżące </t>
    </r>
    <r>
      <rPr>
        <i/>
        <sz val="18"/>
        <rFont val="Times New Roman CE"/>
        <charset val="238"/>
      </rPr>
      <t>-  opłaty za programy i przedszkole -magazyn, CBI abonamenty 3 844,81 zł, oplaty pocztowe 90,60 zł, przeglądy techniczne 2 219,00 zł, telefony i internet 962,74 zł,  badania profilaktyczne 166,00 zł, paliwo do kosiarki 63,94 zł, termometr elektroniczny 299,00 zł,  ręczniki dla dzieci 224,78 zł,  spotkanie z bajkopisarką 400,00 zł,  pozostałe 504,37 zł.</t>
    </r>
  </si>
  <si>
    <t xml:space="preserve">1). Wynagrodzenia osobowe nauczycieli </t>
  </si>
  <si>
    <t>3). Wynagrodzenia nauczycieli za godziny ponadwymiarowe</t>
  </si>
  <si>
    <t xml:space="preserve">4). Wynagrodzenia nauczycieli za zastępstwa </t>
  </si>
  <si>
    <t xml:space="preserve">5). Nagrody jubileuszowe dla nauczycieli </t>
  </si>
  <si>
    <t xml:space="preserve">8). Jednorazowe dodatki uzupełniające </t>
  </si>
  <si>
    <r>
      <t>12). Wynagrodzenia pracowników administracji i obsługi</t>
    </r>
    <r>
      <rPr>
        <i/>
        <sz val="18"/>
        <rFont val="Times New Roman CE"/>
        <charset val="238"/>
      </rPr>
      <t xml:space="preserve"> - 4 osoby,  3,5 etatu</t>
    </r>
  </si>
  <si>
    <t xml:space="preserve">15). Wynagrodzenia z tytułu umów zleceń i o dzieło </t>
  </si>
  <si>
    <r>
      <t>6). Wydatki na remonty</t>
    </r>
    <r>
      <rPr>
        <i/>
        <sz val="18"/>
        <rFont val="Times New Roman CE"/>
        <charset val="238"/>
      </rPr>
      <t xml:space="preserve"> - naprawy hydrauliczne</t>
    </r>
  </si>
  <si>
    <t xml:space="preserve">9). Wydatki na zakup środków czystości </t>
  </si>
  <si>
    <t xml:space="preserve">16). Pozostałe wynagrodzenia </t>
  </si>
  <si>
    <r>
      <t>21). Pozostałe wydatki bieżące</t>
    </r>
    <r>
      <rPr>
        <i/>
        <sz val="18"/>
        <rFont val="Times New Roman CE"/>
        <charset val="238"/>
      </rPr>
      <t xml:space="preserve"> - zakup posiłków w PP2</t>
    </r>
  </si>
  <si>
    <r>
      <t>4). Wynagrodzenia nauczycieli za zastępstwa -</t>
    </r>
    <r>
      <rPr>
        <i/>
        <sz val="18"/>
        <rFont val="Times New Roman CE"/>
        <charset val="238"/>
      </rPr>
      <t xml:space="preserve"> 1 osoba, 3 godz.</t>
    </r>
  </si>
  <si>
    <r>
      <t xml:space="preserve">8). Jednorazowe dodatki uzupełniające za 2018 rok </t>
    </r>
    <r>
      <rPr>
        <i/>
        <sz val="18"/>
        <rFont val="Times New Roman CE"/>
        <charset val="238"/>
      </rPr>
      <t>- 1 osoba</t>
    </r>
  </si>
  <si>
    <t xml:space="preserve">12). Wynagrodzenia pracowników administracji i obsługi </t>
  </si>
  <si>
    <t>15). Wynagrodzenia z tytułu umów zleceń i o dzieło</t>
  </si>
  <si>
    <t xml:space="preserve">6). Wydatki na remonty </t>
  </si>
  <si>
    <t>21). Pozostałe wydatki bieżące</t>
  </si>
  <si>
    <r>
      <t>3). Wynagrodzenia nauczycieli za godziny ponadwymiarowe -</t>
    </r>
    <r>
      <rPr>
        <i/>
        <sz val="18"/>
        <rFont val="Times New Roman CE"/>
        <charset val="238"/>
      </rPr>
      <t xml:space="preserve"> 1 osoba, 5 godz. </t>
    </r>
  </si>
  <si>
    <r>
      <t xml:space="preserve">Program profilaktyczny realizowany w </t>
    </r>
    <r>
      <rPr>
        <b/>
        <i/>
        <sz val="18"/>
        <rFont val="Times New Roman"/>
        <family val="1"/>
        <charset val="238"/>
      </rPr>
      <t>Przedszkolu Publicznym Nr 1 w Łęcznej "Alkohol - wróg rodziny"</t>
    </r>
  </si>
  <si>
    <t>2). Wynagrodzenia nauczycieli przebywających na urlopach dla poratowania zdrowia</t>
  </si>
  <si>
    <r>
      <t>5). Nagrody jubileuszowe dla nauczycieli</t>
    </r>
    <r>
      <rPr>
        <i/>
        <sz val="18"/>
        <rFont val="Times New Roman CE"/>
        <charset val="238"/>
      </rPr>
      <t xml:space="preserve"> - 1 osoba </t>
    </r>
  </si>
  <si>
    <r>
      <t xml:space="preserve">15). Wynagrodzenia z tytułu umów zleceń i o dzieło </t>
    </r>
    <r>
      <rPr>
        <i/>
        <sz val="18"/>
        <rFont val="Times New Roman CE"/>
        <charset val="238"/>
      </rPr>
      <t>- 1 osoba</t>
    </r>
  </si>
  <si>
    <r>
      <t xml:space="preserve">16). Pozostałe wynagrodzenia </t>
    </r>
    <r>
      <rPr>
        <i/>
        <sz val="18"/>
        <rFont val="Times New Roman CE"/>
        <charset val="238"/>
      </rPr>
      <t>- odprawa emerytalna</t>
    </r>
  </si>
  <si>
    <r>
      <t>8). Meble, stoliki, krzesła, dywany przeznaczone na wyposażenie sal lekcyjnych i pracowni</t>
    </r>
    <r>
      <rPr>
        <i/>
        <sz val="18"/>
        <rFont val="Times New Roman CE"/>
        <charset val="238"/>
      </rPr>
      <t xml:space="preserve"> </t>
    </r>
  </si>
  <si>
    <r>
      <t xml:space="preserve">1). Wynagrodzenia osobowe nauczycieli </t>
    </r>
    <r>
      <rPr>
        <i/>
        <sz val="18"/>
        <rFont val="Times New Roman CE"/>
        <charset val="238"/>
      </rPr>
      <t>- 18 osób; 17,12 etatu</t>
    </r>
  </si>
  <si>
    <r>
      <t>3). Wynagrodzenia nauczycieli za godziny ponadwymiarowe</t>
    </r>
    <r>
      <rPr>
        <i/>
        <sz val="18"/>
        <rFont val="Times New Roman CE"/>
        <charset val="238"/>
      </rPr>
      <t xml:space="preserve"> </t>
    </r>
  </si>
  <si>
    <r>
      <t>4). Wynagrodzenia nauczycieli za zastępstwa</t>
    </r>
    <r>
      <rPr>
        <i/>
        <sz val="18"/>
        <rFont val="Times New Roman CE"/>
        <charset val="238"/>
      </rPr>
      <t xml:space="preserve"> - 178 godz. - 11 osób</t>
    </r>
  </si>
  <si>
    <t xml:space="preserve">8). Jednorazowe dodatki uzupełniające za 2019 rok </t>
  </si>
  <si>
    <r>
      <t>12). Wynagrodzenia pracowników administracji i obsługi</t>
    </r>
    <r>
      <rPr>
        <i/>
        <sz val="18"/>
        <rFont val="Times New Roman CE"/>
        <charset val="238"/>
      </rPr>
      <t xml:space="preserve"> - 14 osób,  14 etatów</t>
    </r>
  </si>
  <si>
    <r>
      <t xml:space="preserve">6). Wydatki na remonty - </t>
    </r>
    <r>
      <rPr>
        <i/>
        <sz val="18"/>
        <rFont val="Times New Roman CE"/>
        <charset val="238"/>
      </rPr>
      <t>konserwcja windy, naprawa węzła cieplnego, naprawa wirówki, materiały do drobnych napraw i  konserwacji</t>
    </r>
  </si>
  <si>
    <r>
      <t xml:space="preserve">12). Wynagrodzenia pracowników administracji i obsługi </t>
    </r>
    <r>
      <rPr>
        <i/>
        <sz val="18"/>
        <rFont val="Times New Roman CE"/>
        <charset val="238"/>
      </rPr>
      <t>- 5 osób,  5 etatów</t>
    </r>
  </si>
  <si>
    <r>
      <t>6). Wydatki na remonty -</t>
    </r>
    <r>
      <rPr>
        <i/>
        <sz val="18"/>
        <rFont val="Times New Roman CE"/>
        <charset val="238"/>
      </rPr>
      <t xml:space="preserve"> bieżące naprawy hydrauliczne</t>
    </r>
  </si>
  <si>
    <t>hgy</t>
  </si>
  <si>
    <r>
      <t>2). Pomoc zdrowotna dla nauczycieli -</t>
    </r>
    <r>
      <rPr>
        <i/>
        <sz val="18"/>
        <rFont val="Times New Roman CE"/>
        <charset val="238"/>
      </rPr>
      <t xml:space="preserve"> 1 osoba </t>
    </r>
  </si>
  <si>
    <r>
      <t>6). Wydatki na remonty</t>
    </r>
    <r>
      <rPr>
        <i/>
        <sz val="18"/>
        <rFont val="Times New Roman CE"/>
        <charset val="238"/>
      </rPr>
      <t xml:space="preserve"> - konserwacja wind i gaśnic, węzła cieplnego, materiały do remontu</t>
    </r>
  </si>
  <si>
    <r>
      <t xml:space="preserve">1). Wynagrodzenia osobowe nauczycieli </t>
    </r>
    <r>
      <rPr>
        <i/>
        <sz val="18"/>
        <rFont val="Times New Roman CE"/>
        <charset val="238"/>
      </rPr>
      <t>- 14 osób; 12,42 etatu</t>
    </r>
  </si>
  <si>
    <r>
      <t>2). Wynagrodzenia nauczycieli przebywających na urlopach dla poratowania zdrowia</t>
    </r>
    <r>
      <rPr>
        <i/>
        <sz val="18"/>
        <rFont val="Times New Roman CE"/>
        <charset val="238"/>
      </rPr>
      <t xml:space="preserve"> - 3 osoby</t>
    </r>
  </si>
  <si>
    <r>
      <t xml:space="preserve">4). Wynagrodzenia nauczycieli za zastępstwa </t>
    </r>
    <r>
      <rPr>
        <i/>
        <sz val="18"/>
        <rFont val="Times New Roman CE"/>
        <charset val="238"/>
      </rPr>
      <t>- 413 godz. - 10 osób</t>
    </r>
  </si>
  <si>
    <r>
      <t>8). Jednorazowe dodatki uzupełniające za 2019 rok</t>
    </r>
    <r>
      <rPr>
        <i/>
        <sz val="18"/>
        <rFont val="Times New Roman CE"/>
        <charset val="238"/>
      </rPr>
      <t xml:space="preserve"> </t>
    </r>
  </si>
  <si>
    <r>
      <t>12). Wynagrodzenia pracowników administracji i obsługi</t>
    </r>
    <r>
      <rPr>
        <i/>
        <sz val="18"/>
        <rFont val="Times New Roman CE"/>
        <charset val="238"/>
      </rPr>
      <t xml:space="preserve"> - 9 osób,  9 etatów</t>
    </r>
  </si>
  <si>
    <r>
      <t xml:space="preserve">21). Pozostałe wydatki bieżące - </t>
    </r>
    <r>
      <rPr>
        <i/>
        <sz val="18"/>
        <rFont val="Times New Roman CE"/>
        <charset val="238"/>
      </rPr>
      <t>nagrody - 386,10zł, prasa 1.209,92 zł, usługi zdrowotne 412 zł, usługi telekomunikacyjne 1.105,93 zł, usługi pozostałe 7.212,58 zł, usługi informatyczne 2.690 zł, i pozostałe drobne zakupy 837,39 zł</t>
    </r>
  </si>
  <si>
    <r>
      <t xml:space="preserve">12). Wynagrodzenia pracowników administracji i obsługi </t>
    </r>
    <r>
      <rPr>
        <i/>
        <sz val="18"/>
        <rFont val="Times New Roman CE"/>
        <charset val="238"/>
      </rPr>
      <t>- 4 osoby,  3,5 etatu</t>
    </r>
  </si>
  <si>
    <t>6). Wydatki na remonty</t>
  </si>
  <si>
    <r>
      <t xml:space="preserve">1). Wynagrodzenia osobowe nauczycieli </t>
    </r>
    <r>
      <rPr>
        <i/>
        <sz val="18"/>
        <rFont val="Times New Roman CE"/>
        <charset val="238"/>
      </rPr>
      <t>- 1 osoba, 1 etat</t>
    </r>
  </si>
  <si>
    <r>
      <t xml:space="preserve">1). Wynagrodzenia osobowe nauczycieli </t>
    </r>
    <r>
      <rPr>
        <i/>
        <sz val="18"/>
        <rFont val="Times New Roman CE"/>
        <charset val="238"/>
      </rPr>
      <t>- 25 osób; 24,5 etatu</t>
    </r>
  </si>
  <si>
    <r>
      <t>2). Wynagrodzenia nauczycieli przebywających na urlopach dla poratowania zdrowia</t>
    </r>
    <r>
      <rPr>
        <i/>
        <sz val="18"/>
        <rFont val="Times New Roman CE"/>
        <charset val="238"/>
      </rPr>
      <t xml:space="preserve"> - 4 osoby</t>
    </r>
  </si>
  <si>
    <t>3). Wynagrodzenia nauczycieli za godziny ponadwymiarowe - 262 godz. - 12 osób</t>
  </si>
  <si>
    <r>
      <t xml:space="preserve">4). Wynagrodzenia nauczycieli za zastępstwa </t>
    </r>
    <r>
      <rPr>
        <i/>
        <sz val="18"/>
        <rFont val="Times New Roman CE"/>
        <charset val="238"/>
      </rPr>
      <t>- 262 godz. - 12 osób</t>
    </r>
  </si>
  <si>
    <r>
      <t>12). Wynagrodzenia pracowników administracji i obsługi</t>
    </r>
    <r>
      <rPr>
        <i/>
        <sz val="18"/>
        <rFont val="Times New Roman CE"/>
        <charset val="238"/>
      </rPr>
      <t xml:space="preserve"> - 16 osób,  15,28 etatu</t>
    </r>
  </si>
  <si>
    <r>
      <t xml:space="preserve">16). Pozostałe wynagrodzenia  </t>
    </r>
    <r>
      <rPr>
        <i/>
        <sz val="18"/>
        <rFont val="Times New Roman CE"/>
        <charset val="238"/>
      </rPr>
      <t>- 2 nagrody jubileuszowe</t>
    </r>
  </si>
  <si>
    <r>
      <t>6). Wydatki na remonty</t>
    </r>
    <r>
      <rPr>
        <i/>
        <sz val="18"/>
        <rFont val="Times New Roman CE"/>
        <charset val="238"/>
      </rPr>
      <t xml:space="preserve"> - konserwacja węzła cieplnego, p/poż, materiały do remontu</t>
    </r>
  </si>
  <si>
    <r>
      <t xml:space="preserve">21). Pozostałe wydatki bieżące - </t>
    </r>
    <r>
      <rPr>
        <i/>
        <sz val="18"/>
        <rFont val="Times New Roman CE"/>
        <charset val="238"/>
      </rPr>
      <t>drobne zakupy 1.308,30zł, usługi pozostałe 11.189,95zł, usługi zdrowotne 530 zł, usługi telekomunikacyjne 1.390,47 zł, pozostałe 362 zł</t>
    </r>
  </si>
  <si>
    <r>
      <t xml:space="preserve">12). Wynagrodzenia pracowników administracji i obsługi </t>
    </r>
    <r>
      <rPr>
        <i/>
        <sz val="18"/>
        <rFont val="Times New Roman CE"/>
        <charset val="238"/>
      </rPr>
      <t>- 6 osób,  5,5 etatu</t>
    </r>
  </si>
  <si>
    <r>
      <t>16). Pozostałe wynagrodzenia -</t>
    </r>
    <r>
      <rPr>
        <i/>
        <sz val="18"/>
        <rFont val="Times New Roman CE"/>
        <charset val="238"/>
      </rPr>
      <t xml:space="preserve"> 1 nagroda jubileuszowa</t>
    </r>
  </si>
  <si>
    <r>
      <t xml:space="preserve">1). Wynagrodzenia osobowe nauczycieli </t>
    </r>
    <r>
      <rPr>
        <i/>
        <sz val="18"/>
        <rFont val="Times New Roman CE"/>
        <charset val="238"/>
      </rPr>
      <t>- 2 osoby, 2,02 etatu</t>
    </r>
  </si>
  <si>
    <r>
      <t>3). Wynagrodzenia nauczycieli za godziny ponadwymiarowe -</t>
    </r>
    <r>
      <rPr>
        <i/>
        <sz val="18"/>
        <rFont val="Times New Roman CE"/>
        <charset val="238"/>
      </rPr>
      <t xml:space="preserve"> 16 godz, 4 nauczycieli</t>
    </r>
  </si>
  <si>
    <t xml:space="preserve">2). Nagrody dla pracowników administracji i obsługi </t>
  </si>
  <si>
    <t>3). Dodatkowe wynagrodzenie roczne tzw. "13"</t>
  </si>
  <si>
    <t>4). Wynagrodzenia z tytułu umów zleceń i o dzieło - 2 umowy</t>
  </si>
  <si>
    <r>
      <t xml:space="preserve">5). Pozostałe wynagrodzenia </t>
    </r>
    <r>
      <rPr>
        <i/>
        <sz val="18"/>
        <rFont val="Times New Roman CE"/>
        <charset val="238"/>
      </rPr>
      <t>- nagroda jubileuszowa 2 osoby</t>
    </r>
  </si>
  <si>
    <t>6). Składki na ubezpieczenie społeczne i fundusz pracy</t>
  </si>
  <si>
    <t>3). Wydatki na zakup środków czystości</t>
  </si>
  <si>
    <t>4). Zakup sprzętu komputerowego, drukarek nie służącego procesowi dydaktycznemu</t>
  </si>
  <si>
    <t>5). Wydatki na materiały biurowe i kancelaryjne, tonery</t>
  </si>
  <si>
    <t xml:space="preserve">6). Pozostałe meble </t>
  </si>
  <si>
    <t>7). Wydatki na energię elektryczną, energię cieplną, gaz, woda</t>
  </si>
  <si>
    <t>8). Wywóz nieczystości i odprowadzenie ścieków</t>
  </si>
  <si>
    <t>9). Wydatki na ubezpieczenie majątku i osób</t>
  </si>
  <si>
    <t>10). Odpis na ZFŚS</t>
  </si>
  <si>
    <t>11). Wydatki na podróże służbowe krajowe i zagraniczne</t>
  </si>
  <si>
    <t>12). Wydatki na szkolenia pracowników</t>
  </si>
  <si>
    <t>1). Wynagrodzenia pracowników administracji i obsługi - 20 osób, 20 etatów</t>
  </si>
  <si>
    <r>
      <t>2). Wydatki na remonty -</t>
    </r>
    <r>
      <rPr>
        <i/>
        <sz val="18"/>
        <rFont val="Times New Roman CE"/>
        <charset val="238"/>
      </rPr>
      <t xml:space="preserve"> naprawa gaśnic, samochodu, ogrzewacza wody, materiały hydrauliczne</t>
    </r>
  </si>
  <si>
    <t>klp</t>
  </si>
  <si>
    <t>hjfvtghuj</t>
  </si>
  <si>
    <r>
      <t xml:space="preserve">Projekt pn: "Zdalna Szkoła - wsparcie Ogólnopolskiej Sieci Edukacyjnej w sytemie kształcenia zdalnego" realizowany przez </t>
    </r>
    <r>
      <rPr>
        <b/>
        <sz val="18"/>
        <rFont val="Times New Roman"/>
        <family val="1"/>
        <charset val="238"/>
      </rPr>
      <t>Zespół Obsługi Skół i Przedskoli w Łęcznej</t>
    </r>
  </si>
  <si>
    <r>
      <t xml:space="preserve">Projekt pn: "Zdalna Szkoła + - w ramach Ogólnopolskiej Sieci Edukacyjnej " realizowany przez </t>
    </r>
    <r>
      <rPr>
        <b/>
        <sz val="18"/>
        <rFont val="Times New Roman"/>
        <family val="1"/>
        <charset val="238"/>
      </rPr>
      <t>Zespół Obsługi Skół i Przedskoli w Łęcznej</t>
    </r>
  </si>
  <si>
    <t>Zapewnienie uczniom prawa do bezpłatnego dostepu do podręczników, materiałów edukacyjnych lub ćwiczeniowych</t>
  </si>
  <si>
    <t>Wydatki na wyposażenie szkół w podręczniki, materiały edukacyjne lub materiały ćwiczeniowe oraz na sfinansowanie kosztów zakupu podręczników, materiałów edukacyjnych lub materiałów ćwiczeniowych w przypadku szkół prowadzonych przez osoby prawne inne niż jst lub osoby fizyczne</t>
  </si>
  <si>
    <t>SzP Nr 2 w Łęcznej</t>
  </si>
  <si>
    <t>SzP Zofiówka</t>
  </si>
  <si>
    <t>SzP Nr 4 w Łęcznej</t>
  </si>
  <si>
    <t>ZOSZiP w Łęcznej</t>
  </si>
  <si>
    <t>Pomoc materialna dla uczniów</t>
  </si>
  <si>
    <t>Stypendia socjalne i zasiłki dla dzieci i młodzieży wypłacone w ramach dotacji z budżetu państwa</t>
  </si>
  <si>
    <t>Zadanie realizowane przez Zespół Obsługi Szkół i Przedszkoli w Łęcznej</t>
  </si>
  <si>
    <t>Wypłacono stypendia oraz zasiłki dla młodzieży.</t>
  </si>
  <si>
    <t>stypendia socjalne (73 uczniów)</t>
  </si>
  <si>
    <t xml:space="preserve">zasiłki szkolne </t>
  </si>
  <si>
    <t>7). Zasiłki na zagospodarowanie nauczycieli</t>
  </si>
  <si>
    <r>
      <t xml:space="preserve">9). Odprawy emerytalne i rentowe </t>
    </r>
    <r>
      <rPr>
        <i/>
        <sz val="18"/>
        <rFont val="Times New Roman CE"/>
        <charset val="238"/>
      </rPr>
      <t>- 1 osoba</t>
    </r>
  </si>
  <si>
    <r>
      <t xml:space="preserve">1). Wynagrodzenia osobowe nauczycieli </t>
    </r>
    <r>
      <rPr>
        <i/>
        <sz val="18"/>
        <rFont val="Times New Roman CE"/>
        <charset val="238"/>
      </rPr>
      <t>- 84 osoby; 79,21 etatu</t>
    </r>
  </si>
  <si>
    <r>
      <t xml:space="preserve">2). Wynagrodzenia nauczycieli przebywających na urlopach dla poratowania zdrowia </t>
    </r>
    <r>
      <rPr>
        <i/>
        <sz val="18"/>
        <rFont val="Times New Roman CE"/>
        <charset val="238"/>
      </rPr>
      <t>- 3 osoby</t>
    </r>
  </si>
  <si>
    <r>
      <t xml:space="preserve">3). Wynagrodzenia nauczycieli za godziny ponadwymiarowe </t>
    </r>
    <r>
      <rPr>
        <i/>
        <sz val="18"/>
        <rFont val="Times New Roman CE"/>
        <charset val="238"/>
      </rPr>
      <t>- 1.432 godz. - 52 osoby</t>
    </r>
  </si>
  <si>
    <r>
      <t xml:space="preserve">4). Wynagrodzenia nauczycieli za zastępstwa </t>
    </r>
    <r>
      <rPr>
        <i/>
        <sz val="18"/>
        <rFont val="Times New Roman CE"/>
        <charset val="238"/>
      </rPr>
      <t>- 725 godz. - 54 osoby</t>
    </r>
  </si>
  <si>
    <r>
      <t xml:space="preserve">5). Nagrody jubileuszowe dla nauczycieli </t>
    </r>
    <r>
      <rPr>
        <i/>
        <sz val="18"/>
        <rFont val="Times New Roman CE"/>
        <charset val="238"/>
      </rPr>
      <t>- 8 osób</t>
    </r>
  </si>
  <si>
    <r>
      <t>11). Pozostałe wynagrodzenia</t>
    </r>
    <r>
      <rPr>
        <i/>
        <sz val="18"/>
        <rFont val="Times New Roman CE"/>
        <charset val="238"/>
      </rPr>
      <t xml:space="preserve"> - ekwiwalent za urlop, wynagrodzenie za urlop wypoczynkowy, ferie zimowe </t>
    </r>
  </si>
  <si>
    <r>
      <t>12). Wynagrodzenia pracowników administracji i obsługi</t>
    </r>
    <r>
      <rPr>
        <i/>
        <sz val="18"/>
        <rFont val="Times New Roman CE"/>
        <charset val="238"/>
      </rPr>
      <t xml:space="preserve"> - 41 osób;  39,56 etatu</t>
    </r>
  </si>
  <si>
    <r>
      <t xml:space="preserve">13). Nagrody dla pracowników administracji i obsługi </t>
    </r>
    <r>
      <rPr>
        <i/>
        <sz val="18"/>
        <rFont val="Times New Roman CE"/>
        <charset val="238"/>
      </rPr>
      <t>- 1 osoba</t>
    </r>
  </si>
  <si>
    <r>
      <t xml:space="preserve">16). Pozostałe wynagrodzenia </t>
    </r>
    <r>
      <rPr>
        <i/>
        <sz val="18"/>
        <rFont val="Times New Roman CE"/>
        <charset val="238"/>
      </rPr>
      <t>- ekwiwalent a urlop, odprawa emerytalna</t>
    </r>
  </si>
  <si>
    <r>
      <t xml:space="preserve">2). Pomoc zdrowotna dla nauczycieli </t>
    </r>
    <r>
      <rPr>
        <i/>
        <sz val="18"/>
        <rFont val="Times New Roman CE"/>
        <charset val="238"/>
      </rPr>
      <t>- 1 osoba</t>
    </r>
  </si>
  <si>
    <r>
      <t xml:space="preserve">6). Wydatki na remonty - </t>
    </r>
    <r>
      <rPr>
        <i/>
        <sz val="18"/>
        <rFont val="Times New Roman CE"/>
        <charset val="238"/>
      </rPr>
      <t>konseracja monitoringu, naprawa keyboardu, naprawa urzadzenia wielofunkcyjnego, czyszczenie i konserwacja boiska ze sztucznej trawy, zakup materiałów remontowych</t>
    </r>
  </si>
  <si>
    <r>
      <t>21). Pozostałe wydatki bieżące -</t>
    </r>
    <r>
      <rPr>
        <i/>
        <sz val="18"/>
        <rFont val="Times New Roman CE"/>
        <charset val="238"/>
      </rPr>
      <t xml:space="preserve">  usługi telekomunikacyjne, usługi informatyczno-serwisowe, usługa pełnienia funkcji IOD oraz wykonywania doradztwa informatycznego, znaczki pocztowe, badania profilaktyczne pracowników, abonamenty, przeglądy, nagrody w konkursach, paliwo do kosiarek, prasa, artykuły gospodarcze, wykonane kopie, dorobienie kluczy</t>
    </r>
  </si>
  <si>
    <r>
      <t xml:space="preserve">6). Wydatki na remonty </t>
    </r>
    <r>
      <rPr>
        <i/>
        <sz val="18"/>
        <rFont val="Times New Roman CE"/>
        <charset val="238"/>
      </rPr>
      <t>- konserwacja węzła cieplnego przy ul. Staszica 17, zakup materiałów remontowych</t>
    </r>
  </si>
  <si>
    <r>
      <t xml:space="preserve">1). Wynagrodzenia osobowe nauczycieli </t>
    </r>
    <r>
      <rPr>
        <i/>
        <sz val="18"/>
        <rFont val="Times New Roman CE"/>
        <charset val="238"/>
      </rPr>
      <t>- 14 osób; 10,38 etatu</t>
    </r>
  </si>
  <si>
    <r>
      <t>2). Wynagrodzenia nauczycieli przebywających na urlopach dla poratowania zdrowia</t>
    </r>
    <r>
      <rPr>
        <i/>
        <sz val="18"/>
        <rFont val="Times New Roman CE"/>
        <charset val="238"/>
      </rPr>
      <t xml:space="preserve"> </t>
    </r>
  </si>
  <si>
    <r>
      <t xml:space="preserve">3). Wynagrodzenia nauczycieli za godziny ponadwymiarowe </t>
    </r>
    <r>
      <rPr>
        <i/>
        <sz val="18"/>
        <rFont val="Times New Roman CE"/>
        <charset val="238"/>
      </rPr>
      <t>- 113 godz., 2 osoby</t>
    </r>
  </si>
  <si>
    <r>
      <t xml:space="preserve">4). Wynagrodzenia nauczycieli za zastępstwa </t>
    </r>
    <r>
      <rPr>
        <i/>
        <sz val="18"/>
        <rFont val="Times New Roman CE"/>
        <charset val="238"/>
      </rPr>
      <t xml:space="preserve">- 149 godz., 9 osób </t>
    </r>
  </si>
  <si>
    <r>
      <t xml:space="preserve">11). Pozostałe wynagrodzenia </t>
    </r>
    <r>
      <rPr>
        <i/>
        <sz val="18"/>
        <rFont val="Times New Roman CE"/>
        <charset val="238"/>
      </rPr>
      <t>- wynagrodzenie za urlop wypoczynkowy</t>
    </r>
  </si>
  <si>
    <r>
      <t xml:space="preserve">12). Wynagrodzenia pracowników administracji i obsługi </t>
    </r>
    <r>
      <rPr>
        <i/>
        <sz val="18"/>
        <rFont val="Times New Roman CE"/>
        <charset val="238"/>
      </rPr>
      <t xml:space="preserve">- 8 osób, 6,10 etatów </t>
    </r>
  </si>
  <si>
    <r>
      <t xml:space="preserve">16). Pozostałe wynagrodzenia </t>
    </r>
    <r>
      <rPr>
        <i/>
        <sz val="18"/>
        <rFont val="Times New Roman CE"/>
        <charset val="238"/>
      </rPr>
      <t xml:space="preserve">- ekwiwalent za urlop </t>
    </r>
  </si>
  <si>
    <r>
      <t>12). Wynagrodzenia pracowników administracji i obsługi</t>
    </r>
    <r>
      <rPr>
        <i/>
        <sz val="18"/>
        <rFont val="Times New Roman CE"/>
        <charset val="238"/>
      </rPr>
      <t xml:space="preserve"> - 8 osób,  8 etatów</t>
    </r>
  </si>
  <si>
    <r>
      <t xml:space="preserve">16). Pozostałe wynagrodzenia - </t>
    </r>
    <r>
      <rPr>
        <i/>
        <sz val="18"/>
        <rFont val="Times New Roman CE"/>
        <charset val="238"/>
      </rPr>
      <t>nagroda jubileuszowa</t>
    </r>
    <r>
      <rPr>
        <sz val="18"/>
        <rFont val="Times New Roman CE"/>
        <charset val="238"/>
      </rPr>
      <t xml:space="preserve"> </t>
    </r>
  </si>
  <si>
    <r>
      <t>6). Wydatki na remonty</t>
    </r>
    <r>
      <rPr>
        <i/>
        <sz val="18"/>
        <rFont val="Times New Roman CE"/>
        <charset val="238"/>
      </rPr>
      <t xml:space="preserve"> - zakup materiałów remontowych</t>
    </r>
  </si>
  <si>
    <r>
      <t xml:space="preserve">21). Pozostałe wydatki bieżące - </t>
    </r>
    <r>
      <rPr>
        <i/>
        <sz val="18"/>
        <rFont val="Times New Roman CE"/>
        <charset val="238"/>
      </rPr>
      <t xml:space="preserve">wyżywienie dzieci z oddziału przedszkolnego </t>
    </r>
  </si>
  <si>
    <r>
      <t xml:space="preserve">8). Jednorazowe dodatki uzupełniające za 2018 rok </t>
    </r>
    <r>
      <rPr>
        <i/>
        <sz val="18"/>
        <rFont val="Times New Roman CE"/>
        <charset val="238"/>
      </rPr>
      <t>- 6 osób</t>
    </r>
  </si>
  <si>
    <r>
      <t>12). Wynagrodzenia pracowników administracji i obsługi</t>
    </r>
    <r>
      <rPr>
        <i/>
        <sz val="18"/>
        <rFont val="Times New Roman CE"/>
        <charset val="238"/>
      </rPr>
      <t xml:space="preserve"> -</t>
    </r>
  </si>
  <si>
    <r>
      <t xml:space="preserve">1). Wynagrodzenia osobowe nauczycieli </t>
    </r>
    <r>
      <rPr>
        <i/>
        <sz val="18"/>
        <rFont val="Times New Roman CE"/>
        <charset val="238"/>
      </rPr>
      <t xml:space="preserve">- 9 osób, 8,14 etatu </t>
    </r>
  </si>
  <si>
    <r>
      <t>3). Wynagrodzenia nauczycieli za godziny ponadwymiarowe</t>
    </r>
    <r>
      <rPr>
        <i/>
        <sz val="18"/>
        <rFont val="Times New Roman CE"/>
        <charset val="238"/>
      </rPr>
      <t xml:space="preserve"> - 486 godz., 9 osób</t>
    </r>
  </si>
  <si>
    <r>
      <t>11). Pozostałe wynagrodzenia -</t>
    </r>
    <r>
      <rPr>
        <i/>
        <sz val="18"/>
        <rFont val="Times New Roman CE"/>
        <charset val="238"/>
      </rPr>
      <t xml:space="preserve"> ekwiwalent za urlop, wynagrodzenie za urlop wypoczynkowy</t>
    </r>
  </si>
  <si>
    <r>
      <t>Program Wychowawczo-Profilaktyczny realizowany w</t>
    </r>
    <r>
      <rPr>
        <b/>
        <i/>
        <sz val="18"/>
        <rFont val="Times New Roman"/>
        <family val="1"/>
        <charset val="238"/>
      </rPr>
      <t xml:space="preserve">Szkole Podstawowej Nr 2 w Łęcznej  </t>
    </r>
  </si>
  <si>
    <r>
      <t xml:space="preserve">Projekt z zakresu profilaktyki alkoholowej realizowany przez </t>
    </r>
    <r>
      <rPr>
        <b/>
        <i/>
        <sz val="18"/>
        <rFont val="Times New Roman"/>
        <family val="1"/>
        <charset val="238"/>
      </rPr>
      <t>Świetlicę profilaktyczno-wychowawczą "Centrum Dobrego Wychowania" przy Szkole Podstawowej Nr 2 w Łęcznej</t>
    </r>
    <r>
      <rPr>
        <i/>
        <sz val="18"/>
        <rFont val="Times New Roman"/>
        <family val="1"/>
        <charset val="238"/>
      </rPr>
      <t/>
    </r>
  </si>
  <si>
    <r>
      <t xml:space="preserve">8). Jednorazowe dodatki uzupełniające za 2018 rok </t>
    </r>
    <r>
      <rPr>
        <i/>
        <sz val="18"/>
        <rFont val="Times New Roman CE"/>
        <charset val="238"/>
      </rPr>
      <t>- 9 osób</t>
    </r>
  </si>
  <si>
    <r>
      <t xml:space="preserve">12). Wynagrodzenia pracowników administracji i obsługi </t>
    </r>
    <r>
      <rPr>
        <i/>
        <sz val="18"/>
        <rFont val="Times New Roman CE"/>
        <charset val="238"/>
      </rPr>
      <t>- 3 osoby,  1,40 etatu</t>
    </r>
  </si>
  <si>
    <r>
      <t xml:space="preserve">1). Wynagrodzenia osobowe nauczycieli </t>
    </r>
    <r>
      <rPr>
        <i/>
        <sz val="18"/>
        <rFont val="Times New Roman CE"/>
        <charset val="238"/>
      </rPr>
      <t>- 17 osób; 13,18 etatu</t>
    </r>
  </si>
  <si>
    <r>
      <t xml:space="preserve">3). Wynagrodzenia nauczycieli za godziny ponadwymiarowe </t>
    </r>
    <r>
      <rPr>
        <i/>
        <sz val="18"/>
        <rFont val="Times New Roman CE"/>
        <charset val="238"/>
      </rPr>
      <t>- 128 godz., 6 osób</t>
    </r>
  </si>
  <si>
    <r>
      <t xml:space="preserve">4). Wynagrodzenia nauczycieli za zastępstwa </t>
    </r>
    <r>
      <rPr>
        <i/>
        <sz val="18"/>
        <rFont val="Times New Roman CE"/>
        <charset val="238"/>
      </rPr>
      <t>- 120 godz., 22 osoby</t>
    </r>
  </si>
  <si>
    <r>
      <t>5). Nagrody jubileuszowe dla nauczycieli -</t>
    </r>
    <r>
      <rPr>
        <i/>
        <sz val="18"/>
        <rFont val="Times New Roman CE"/>
        <charset val="238"/>
      </rPr>
      <t xml:space="preserve"> 1 osoba</t>
    </r>
  </si>
  <si>
    <r>
      <t>11). Pozostałe wynagrodzenia</t>
    </r>
    <r>
      <rPr>
        <i/>
        <sz val="18"/>
        <rFont val="Times New Roman CE"/>
        <charset val="238"/>
      </rPr>
      <t xml:space="preserve"> - ekwiwalent za urlop, wynagrodzenie za urlop wypoczynkowy</t>
    </r>
  </si>
  <si>
    <r>
      <t>2). Wynagrodzenia nauczycieli przebywających na urlopach dla poratowania zdrowia</t>
    </r>
    <r>
      <rPr>
        <i/>
        <sz val="18"/>
        <rFont val="Times New Roman CE"/>
        <charset val="238"/>
      </rPr>
      <t xml:space="preserve"> - 2 osoby</t>
    </r>
  </si>
  <si>
    <r>
      <t xml:space="preserve">2). Pomoc zdrowotna dla nauczycieli </t>
    </r>
    <r>
      <rPr>
        <i/>
        <sz val="18"/>
        <rFont val="Times New Roman CE"/>
        <charset val="238"/>
      </rPr>
      <t>- 2 osoby</t>
    </r>
  </si>
  <si>
    <r>
      <t xml:space="preserve">6). Wydatki na remonty - </t>
    </r>
    <r>
      <rPr>
        <i/>
        <sz val="18"/>
        <rFont val="Times New Roman CE"/>
        <charset val="238"/>
      </rPr>
      <t>zakup materiałów remontowych</t>
    </r>
  </si>
  <si>
    <t>7). Środki dydaktyczne służące procesowi dydaktyczno-wychowawczemu realizowanemu w szkołach i placówkach oświatowych, książki i inne zbiory biblioteczne</t>
  </si>
  <si>
    <t>18). Zakup materiałów, sprzętu i urządzeń na potrzeby szkoły</t>
  </si>
  <si>
    <r>
      <t xml:space="preserve">21). Pozostałe wydatki bieżące - </t>
    </r>
    <r>
      <rPr>
        <i/>
        <sz val="18"/>
        <rFont val="Times New Roman CE"/>
        <charset val="238"/>
      </rPr>
      <t>abonamenty, badania lekarskie, usługi telekomunikacyjne, przeglądy, usługi transportowe</t>
    </r>
  </si>
  <si>
    <r>
      <t xml:space="preserve">1). Wynagrodzenia osobowe nauczycieli </t>
    </r>
    <r>
      <rPr>
        <i/>
        <sz val="18"/>
        <rFont val="Times New Roman CE"/>
        <charset val="238"/>
      </rPr>
      <t>- 73 osób; 71,17 etatu</t>
    </r>
  </si>
  <si>
    <r>
      <t xml:space="preserve">3). Wynagrodzenia nauczycieli za godziny ponadwymiarowe </t>
    </r>
    <r>
      <rPr>
        <i/>
        <sz val="18"/>
        <rFont val="Times New Roman CE"/>
        <charset val="238"/>
      </rPr>
      <t>- 2.392 godz. - 53 osoby</t>
    </r>
  </si>
  <si>
    <r>
      <t xml:space="preserve">4). Wynagrodzenia nauczycieli za zastępstwa </t>
    </r>
    <r>
      <rPr>
        <i/>
        <sz val="18"/>
        <rFont val="Times New Roman CE"/>
        <charset val="238"/>
      </rPr>
      <t>- 692 godz. - 63 osoby</t>
    </r>
  </si>
  <si>
    <r>
      <t xml:space="preserve">5). Nagrody jubileuszowe dla nauczycieli </t>
    </r>
    <r>
      <rPr>
        <i/>
        <sz val="18"/>
        <rFont val="Times New Roman CE"/>
        <charset val="238"/>
      </rPr>
      <t>- 2 osoby</t>
    </r>
  </si>
  <si>
    <r>
      <t xml:space="preserve">11). Pozostałe wynagrodzenia </t>
    </r>
    <r>
      <rPr>
        <i/>
        <sz val="18"/>
        <rFont val="Times New Roman CE"/>
        <charset val="238"/>
      </rPr>
      <t xml:space="preserve">- urlop wypoczynkowy, ferie zimowe </t>
    </r>
  </si>
  <si>
    <r>
      <t xml:space="preserve">12). Wynagrodzenia pracowników administracji i obsługi </t>
    </r>
    <r>
      <rPr>
        <i/>
        <sz val="18"/>
        <rFont val="Times New Roman CE"/>
        <charset val="238"/>
      </rPr>
      <t>- 29 osób;  27,85 etatu</t>
    </r>
  </si>
  <si>
    <r>
      <t xml:space="preserve">13). Nagrody dla pracowników administracji i obsługi </t>
    </r>
    <r>
      <rPr>
        <i/>
        <sz val="18"/>
        <rFont val="Times New Roman CE"/>
        <charset val="238"/>
      </rPr>
      <t>- 4 osoby</t>
    </r>
  </si>
  <si>
    <r>
      <t xml:space="preserve">16). Pozostałe wynagrodzenia - </t>
    </r>
    <r>
      <rPr>
        <i/>
        <sz val="18"/>
        <rFont val="Times New Roman CE"/>
        <charset val="238"/>
      </rPr>
      <t>godziny nadliczbowe, nagrody jubileuszowe, odprawa emerytalna, urlop wypoczynkowy</t>
    </r>
  </si>
  <si>
    <r>
      <t>1). Wynagrodzenia osobowe nauczycieli</t>
    </r>
    <r>
      <rPr>
        <i/>
        <sz val="18"/>
        <rFont val="Times New Roman CE"/>
        <charset val="238"/>
      </rPr>
      <t xml:space="preserve"> - 15 osób; 12 etatu</t>
    </r>
  </si>
  <si>
    <r>
      <t xml:space="preserve">3). Wynagrodzenia nauczycieli za godziny ponadwymiarowe </t>
    </r>
    <r>
      <rPr>
        <i/>
        <sz val="18"/>
        <rFont val="Times New Roman CE"/>
        <charset val="238"/>
      </rPr>
      <t>- 28 godz., 4 osoby</t>
    </r>
  </si>
  <si>
    <r>
      <t>4). Wynagrodzenia nauczycieli za zastępstwa</t>
    </r>
    <r>
      <rPr>
        <i/>
        <sz val="18"/>
        <rFont val="Times New Roman CE"/>
        <charset val="238"/>
      </rPr>
      <t xml:space="preserve"> - 325 godz., 7 osób</t>
    </r>
  </si>
  <si>
    <r>
      <t xml:space="preserve">12). Wynagrodzenia pracowników administracji i obsługi </t>
    </r>
    <r>
      <rPr>
        <i/>
        <sz val="18"/>
        <rFont val="Times New Roman CE"/>
        <charset val="238"/>
      </rPr>
      <t xml:space="preserve">- 9 osób, 6,15 etatów </t>
    </r>
  </si>
  <si>
    <r>
      <t xml:space="preserve">16). Pozostałe wynagrodzenia </t>
    </r>
    <r>
      <rPr>
        <i/>
        <sz val="18"/>
        <rFont val="Times New Roman CE"/>
        <charset val="238"/>
      </rPr>
      <t>- urlop wypoczynkowy, godziny nadliczbowe</t>
    </r>
  </si>
  <si>
    <r>
      <t xml:space="preserve">16). Pozostałe wynagrodzenia - </t>
    </r>
    <r>
      <rPr>
        <i/>
        <sz val="18"/>
        <rFont val="Times New Roman CE"/>
        <charset val="238"/>
      </rPr>
      <t>nagroda jubileuszowa, urlop wypoczynkowy</t>
    </r>
  </si>
  <si>
    <r>
      <t xml:space="preserve">11). Pozostałe wynagrodzenia  </t>
    </r>
    <r>
      <rPr>
        <i/>
        <sz val="18"/>
        <rFont val="Times New Roman CE"/>
        <charset val="238"/>
      </rPr>
      <t>- urlop wypoczynkowy</t>
    </r>
  </si>
  <si>
    <t>2). Pomoc zdrowotna dla nauczycieli</t>
  </si>
  <si>
    <r>
      <t xml:space="preserve">1). Wynagrodzenia osobowe nauczycieli </t>
    </r>
    <r>
      <rPr>
        <i/>
        <sz val="18"/>
        <rFont val="Times New Roman CE"/>
        <charset val="238"/>
      </rPr>
      <t>- 8 osób, 7 etatów</t>
    </r>
  </si>
  <si>
    <r>
      <t xml:space="preserve">5). Nagrody jubileuszowe dla nauczycieli </t>
    </r>
    <r>
      <rPr>
        <i/>
        <sz val="18"/>
        <rFont val="Times New Roman CE"/>
        <charset val="238"/>
      </rPr>
      <t>- 1 osoba</t>
    </r>
  </si>
  <si>
    <r>
      <t xml:space="preserve">11). Pozostałe wynagrodzenia </t>
    </r>
    <r>
      <rPr>
        <i/>
        <sz val="18"/>
        <rFont val="Times New Roman CE"/>
        <charset val="238"/>
      </rPr>
      <t>- urlop wypoczynkowy</t>
    </r>
  </si>
  <si>
    <r>
      <t xml:space="preserve">2). Wynagrodzenia nauczycieli przebywających na urlopach dla poratowania zdrowia </t>
    </r>
    <r>
      <rPr>
        <i/>
        <sz val="18"/>
        <rFont val="Times New Roman CE"/>
        <charset val="238"/>
      </rPr>
      <t>- 2 osoby</t>
    </r>
  </si>
  <si>
    <r>
      <t xml:space="preserve">1). Wynagrodzenia osobowe nauczycieli </t>
    </r>
    <r>
      <rPr>
        <i/>
        <sz val="18"/>
        <rFont val="Times New Roman CE"/>
        <charset val="238"/>
      </rPr>
      <t>- 9 osób; 8 etatów</t>
    </r>
  </si>
  <si>
    <r>
      <t xml:space="preserve">11). Pozostałe wynagrodzenia </t>
    </r>
    <r>
      <rPr>
        <i/>
        <sz val="18"/>
        <rFont val="Times New Roman CE"/>
        <charset val="238"/>
      </rPr>
      <t xml:space="preserve">- urlop wypoczynkowy </t>
    </r>
  </si>
  <si>
    <t/>
  </si>
  <si>
    <t>Na podstawie uchwały Rady Miejskiej zadanie poboru podatków powierzono sołtysom. Przy I racie 2020 roku - 11 sołtysów pobrało podatki na łączną kwotę 82.384,48 zł wypłacone inkaso to 8.237,00 zł, przy II racie - 9 sołtysów pobrało podatki na łączną kwotę 52.255,27 zł, wypłacone inkaso to 5.226,00 zł.</t>
  </si>
  <si>
    <t xml:space="preserve"> Ogółem w  I półroczu 2020 roku sołtysi zebrali podatek rolny i podatek od nieruchomości na łączną kwotę 134.639,75zł, z czego naliczono inkaso brutto - 13.463 zł.</t>
  </si>
  <si>
    <t>Koszty związane z doręczeniem nakazów podatkowych wyniosły 27.179,52 zł, z czego na wynagrodzenia bezosobowe przekazano 22.868,34 zł, na składki na ubezpieczenie społeczne 3.832,35 zł, na składki na fundusz pracy 478,83 zł,</t>
  </si>
  <si>
    <t>Poniesiono również koszty związane z obsługą systemu czyli wysyłka korespondencji, zakup materiałów biurowych, kompleksowa obsługa urządzeń drukujących.</t>
  </si>
  <si>
    <t>W związku z wykonywaniem zadania poboru zaległej opłaty za gospodarowanie odpadami komunalnymi urząd poniósł koszty związane z egzekucją tej opłaty w kwocie 737,59. Pozostałe koszty to wysyłka korespondencji.</t>
  </si>
  <si>
    <t>Na funkcjonowanie izb rolniczych w 2020 roku przekazano 2% z uzyskanego wpływu z tytułu podatku rolnego.</t>
  </si>
  <si>
    <t>01095</t>
  </si>
  <si>
    <t>Środki związane z realizacją ustawy z dnia 10 marca 2006 roku o zwrocie podatku akcyzowego zawartego w cenie oleju napędowego wykorzystywanego do produkcji rolnej, z przeznaczeniem na zwrot części podatku akcyzowego zawartego w cenie oleju napędowego wykorzystywanego do produkcji rolnej przez producentów rolnych oraz na pokrycie kosztów postępowania w sprawie jego zwrotu poniesionych przez gminy, za pierwszy okres płatniczy 2020 roku</t>
  </si>
  <si>
    <t>W ramach realizacji powyższego zadania dokonano zwrotu producentom rolnym części podatku akcyzowego zawartego w cenie oleju napędowego wykorzystywanego do produkcji rolnej na kwotę 177.953,50 zł. Złożono 280 wniosków o zwrot za okres od 1 sierpnia 2019 roku do 31 stycznia 2020 roku. W I półroczu 2020 roku w związku z wykonaniem prac związanych z przyjęciem wniosków o zwrot podatku akcyzowego Urząd poniósł  koszty w wysokości 3.559,06 zł, z czego na wynagrodzenia  przekazano 2.986,08 zł, na składki na ubezpieczenie społeczne 513,32 zł, na składki na fundusz pracy 59,66 zł.</t>
  </si>
  <si>
    <t>loui</t>
  </si>
  <si>
    <t>Nie wydatkowano środków finansowych z uwagi na brak wniosków żołnierzy rezerwy.</t>
  </si>
  <si>
    <t>Środki finansowe przeniesiono na realizację zadania nr 30</t>
  </si>
  <si>
    <t>Dokumentacja techniczna demontażu kolidujących słupów oświetlenia ulicy Pasternik</t>
  </si>
  <si>
    <t>Oznakowanie obszaru zapowietrzonego w związku ze zwalczaniem zgnilca amerykańskiego, zgodnie z Rozporządzeniem nr 13 Wojewody Lubelskiego w sprawie zwalczania zgnilca amerykańskiego pszczół na terenie powiatów łęczyńskiego i lubartowskiego z dnia 6 marca 2020 roku (Dz. Urz. Wok. Lubel. z 2020 poz. 1705)</t>
  </si>
  <si>
    <t>Zakup druków licencji oraz wypisów licencji na wykonywanie transportu drogowego w zakresie przewozu osób taksówką</t>
  </si>
  <si>
    <t>Opłata za garażowanie sprzętu, urządzeń i matriałów niezbędnych do prac referatu GKiOŚ</t>
  </si>
  <si>
    <t>Dokumentacja techniczna przebudowy ulicy Wiklinowej</t>
  </si>
  <si>
    <t>Wykonanie remontu kładek pieszych na rz. Śwince</t>
  </si>
  <si>
    <t>DRGDE</t>
  </si>
  <si>
    <t xml:space="preserve">Zadanie w trakcie realizacji.  W I półroczu zawarto umowę nr IRG.272.7.2020 z terminem wykonania do 30.09.2020 r. na sporządzenie dokumentacji technicznej przebudowy ulicy. </t>
  </si>
  <si>
    <t>Środki finansowe przeniesiono na realizację zadania nr 8 w dz. 92695</t>
  </si>
  <si>
    <t>Zadanie w trakcie realizacji.  W I półroczu zgodnie z zamówieniem nr IRG.7013.5.1.2020 sporządzono i odebrano dokumentację techniczną.</t>
  </si>
  <si>
    <t>Środki finansowe przeniesiono na realizację zadania nr 4</t>
  </si>
  <si>
    <r>
      <t xml:space="preserve">Rewitalizacja Starego Miasta w Łęcznej - II etap. Przebudowa budynku mieszkalno-usługowego przy Rynku II - </t>
    </r>
    <r>
      <rPr>
        <b/>
        <sz val="18"/>
        <color indexed="8"/>
        <rFont val="Times New Roman"/>
        <family val="1"/>
        <charset val="238"/>
      </rPr>
      <t>WPF - wydatki inwestycyjne</t>
    </r>
  </si>
  <si>
    <r>
      <t xml:space="preserve">Rewitalizacja Starego Miasta w Łęcznej - II etap. Budowa budynku mieszkalno-usługowego przy Rynku II - </t>
    </r>
    <r>
      <rPr>
        <b/>
        <sz val="18"/>
        <color indexed="8"/>
        <rFont val="Times New Roman"/>
        <family val="1"/>
        <charset val="238"/>
      </rPr>
      <t>WPF - wydatki inwestycyjne</t>
    </r>
  </si>
  <si>
    <t>Zadanie w trakcie realizacji.  W I półroczu zgodnie z decyzją wywłaszczeniową GKN.6821.30.2019 pozyskano działkę Nr 1856</t>
  </si>
  <si>
    <t>G</t>
  </si>
  <si>
    <t>Zadanie w trakcie realizacji.  W I półroczu zgodnie z zamówieniem nr IRG.7013.7.2.2020 sporządzono audyt energetyczny budynku.</t>
  </si>
  <si>
    <t>Termomodernizacja budynku Szkoły Podstawowej w Zofiówce</t>
  </si>
  <si>
    <t xml:space="preserve">Zadanie w trakcie realizacji.  W I półroczu zgodnie z umową nr IRG.272.21.2018 zakończono i odebrano roboty budowlane wykonane w 2019 roku, związane z przebudową spichlerza i zagospodarowaniem terenu działki, wykonano wszystkie konieczne próby i sprawdzenia, zakończono procedury administracyjne związane z dopuszczeniem obiektu do użytkowania.Zawarto umowy nr IRG.272.4.2020, IRG.272.8.2020, IRG.272.9.2020, IRG.272.10.2020, IRG.272.12.2020 na dostawy sprzętu, wyposażenia i mebli.  </t>
  </si>
  <si>
    <t>Przygotowanie dokumentów aplikacyjnych i wniosku na dofinansowanie zakupu i montażu odnawialnych źródeł energii (OZE) dla mieszkańców Gminy Łęczna</t>
  </si>
  <si>
    <t>Zadanie było realizowane w 2019 roku. Zakończenie uwarunkowane jest uzyskaniem pozytywnej oceny formalnej wniosku sporządzonego na podstawie umowy nr IRG.272.16.2019.</t>
  </si>
  <si>
    <t>Zwrot środków finansowych do Ministerstwa Obrony Narodowej w związku z realizacją zadania pod nazwą - "Ławka Niepodległości dla samorządów"</t>
  </si>
  <si>
    <t>Przekazano środki finansowe w związku z rozliczeniem dotacji.</t>
  </si>
  <si>
    <r>
      <t>Dotacja dla</t>
    </r>
    <r>
      <rPr>
        <b/>
        <sz val="18"/>
        <rFont val="Times New Roman"/>
        <family val="1"/>
        <charset val="238"/>
      </rPr>
      <t xml:space="preserve"> Polskiego ZwiazkuEmerytów, Rencistów i Inwalidów, Zarząd Oddziału Rejonowego w Łęcznej</t>
    </r>
  </si>
  <si>
    <t>Środki przeznaczone na realizację zadania pn. Organizacja na terenie gminy Łęczna otwartych imprez integracyjnych dla seniorów</t>
  </si>
  <si>
    <r>
      <t>Dotacja dla</t>
    </r>
    <r>
      <rPr>
        <b/>
        <sz val="18"/>
        <rFont val="Times New Roman"/>
        <family val="1"/>
        <charset val="238"/>
      </rPr>
      <t xml:space="preserve"> Stowarzyszenia na Rzecz Wspierania Rozwoju Dzieci i Młodzieży "FORTITUDO"</t>
    </r>
  </si>
  <si>
    <t>Środki przeznaczone na realizację zadania pn. Integracyjny festyn artystyczny "Barwy Marzeń"</t>
  </si>
  <si>
    <t>Budowa tablicy pamiątkowej na Placu Powstań Narodowych w Łęcznej</t>
  </si>
  <si>
    <r>
      <t xml:space="preserve">Zagospodarowanie terenu rekreacyjno-wypoczynkowego w Podzamczu </t>
    </r>
    <r>
      <rPr>
        <b/>
        <sz val="18"/>
        <rFont val="Times New Roman"/>
        <family val="1"/>
        <charset val="238"/>
      </rPr>
      <t>- WPF</t>
    </r>
  </si>
  <si>
    <t>I</t>
  </si>
  <si>
    <t>5). Dodatkowe wynagrodzenie roczne tzw. "13"</t>
  </si>
  <si>
    <t xml:space="preserve">6). Wynagrodzenia z tytułu umów zleceń </t>
  </si>
  <si>
    <t>7). Składki na ubezpieczenie społeczne i fundusz pracy</t>
  </si>
  <si>
    <t>II</t>
  </si>
  <si>
    <t>1). Wypłaty pieniężne, świadczenia rzeczowe, ekwiwalenty pieniężne wynikające z przepisów dotyczących bezpieczeństwa i higieny pracy</t>
  </si>
  <si>
    <t>2). Wydatki na remonty (remont samochodów, drobne remonty urządzeń)</t>
  </si>
  <si>
    <t>3). Środki dydaktyczne służące procesowi dydaktyczno-wychowawczemu realizowanemu w szkołach i placówkach oświatowych, książki i inne zbiory biblioteczne</t>
  </si>
  <si>
    <t>4). Meble, stoliki, dywany przeznaczone na wyposażenie pracowni</t>
  </si>
  <si>
    <t>5). Zakup środków czystości</t>
  </si>
  <si>
    <t>6). Zakup materiałów biurowych i kancelaryjnych, tonery</t>
  </si>
  <si>
    <t>7). Wydatki na energię elektryczną, cieplną, gaz, wodę</t>
  </si>
  <si>
    <t>12). Wydatki na podróże służbowe krajowe i zagraniczne</t>
  </si>
  <si>
    <t>13). Wydatki na szkolenia pracowników</t>
  </si>
  <si>
    <t>14). Pozostałe wydatki bieżące</t>
  </si>
  <si>
    <t>1). Wynagrodzenia osobowe pracowników (9 osób; 8,75 etatu)</t>
  </si>
  <si>
    <t xml:space="preserve">2). Nagrody jubileuszowe dla pracowników ŚDS w Łęcznej </t>
  </si>
  <si>
    <t xml:space="preserve">3). Odprawy emerytalne i rentowe dla pracowników ŚDS w Łęcznej </t>
  </si>
  <si>
    <t>4). Wynagrodzenia osobowe pracowników administracji i obsługi (8 osób; 5,75 etatu)</t>
  </si>
  <si>
    <t>6). Zakup paliwa do samochodów służbowych</t>
  </si>
  <si>
    <t xml:space="preserve">11). Zakup produktów żywnościowych </t>
  </si>
  <si>
    <t>Odbiór odpadów pochodzących od osób, zarażonych wirusem SARS-COV-2 wywołujący chorobę COVID-19, przebywajacych w izolatoriach domowych.</t>
  </si>
  <si>
    <r>
      <t xml:space="preserve">Zabezpieczenie środków ochrony indywidualnej pracowników świadczących usługi opiekuńcze i pracowników socjalnych - realizacja zadania przez </t>
    </r>
    <r>
      <rPr>
        <b/>
        <sz val="18"/>
        <rFont val="Times New Roman"/>
        <family val="1"/>
        <charset val="238"/>
      </rPr>
      <t>MOPS w Łęcznej</t>
    </r>
  </si>
  <si>
    <t xml:space="preserve">"Podchody Rodzinne" </t>
  </si>
  <si>
    <t xml:space="preserve">Powitanie wakacji na Osiedlu Stare Miasto </t>
  </si>
  <si>
    <t>Słoneczny Festyn</t>
  </si>
  <si>
    <t xml:space="preserve">"Dzień Latawca" </t>
  </si>
  <si>
    <t xml:space="preserve">Piknik rodzinny </t>
  </si>
  <si>
    <t xml:space="preserve">- nagrody dla dzieci za udział w konkursie plastycznym </t>
  </si>
  <si>
    <t>- pozostałe wydatki</t>
  </si>
  <si>
    <t xml:space="preserve">- pokrycie kosztów pogrzebu </t>
  </si>
  <si>
    <t>- wypłata zasiłków - 56 osób</t>
  </si>
  <si>
    <t>W ramach realizacji zadania wypłacono łącznie  601 dodatków mieszkaniowych, z tego  137 dla lokatorów zamieszkujących w lokalach gminnych,  457 dla lokatorów spółdzielni mieszkaniowych,  6 dla wspólnot mieszkaniowych,   1 dla innych lokali mieszkalnych.</t>
  </si>
  <si>
    <t>W ramach zadania poniesiono wydatki na wynagrodzenia i pochodne oraz pozostałe wydatki - 12.040,17 zł</t>
  </si>
  <si>
    <t>Dotacja przeznaczona na sfinansowanie wypłat zryczałtowanych dodatków energetycznych dla odbiorców wrażliwych energii elektrycznej oraz na koszty obsługi tego zadania realizowanego przez gminy w wysokości 2 % łącznej kwoty dotacji wypłaconych w gminie</t>
  </si>
  <si>
    <t>W ramach realizacji zadania wypłacono łącznie 201 dodatków energetycznych dla odbiorców wrażliwych energii elektrycznej, w tym 80 dla gospodarstw 1- osobowych, 3115 dla gospopdarstw składających się z 2-4 osób, 6 dla gospodarstw składajacych się z conajmniej 5 osób. Ponadto zakupiono materiały biurowe za kwotę 112,30 zł. Środki pochodzą z dotacji celowej udzielonej z budżetu państwa na finansowanie dodatków energetycznych, przyznanej decyzją budżetową Wojewody Lubelskiego.</t>
  </si>
  <si>
    <t>1). Wynagrodzenia osobowe pracowników (19,45 etatów - dofinansowanie )</t>
  </si>
  <si>
    <t>2). Dodatkowe wynagrodzenie roczne tzw. "13"</t>
  </si>
  <si>
    <t>3). Składki na ubezpieczenie społeczne i fundusz pracy</t>
  </si>
  <si>
    <t>1). Wydatki na zakup środków ochrony indywidualnej oraz odzieży i obuwia roboczego</t>
  </si>
  <si>
    <t>2). Wydatki na zakup materiałów biurowych i wyposażenia (artykuły biurowe, chemiczne, toner do drukarek, papier xero)</t>
  </si>
  <si>
    <t xml:space="preserve">3). Wydatki na remonty </t>
  </si>
  <si>
    <t>4). Wydatki na zakup usług telefonicznych</t>
  </si>
  <si>
    <t>5). Wydatki na delegacje służbowe</t>
  </si>
  <si>
    <t>6). Wydatki na ubezpieczenie majątku i osób</t>
  </si>
  <si>
    <t>7). Odpis na ZFŚS</t>
  </si>
  <si>
    <t>8). Pozostałe wydatki bieżące</t>
  </si>
  <si>
    <t>*-</t>
  </si>
  <si>
    <t xml:space="preserve">3). Wynagrodzenia z tytułu umów zleceń (1 umowa) </t>
  </si>
  <si>
    <t>4). Składki na ubezpieczenie społeczne i fundusz pracy</t>
  </si>
  <si>
    <t>2). Wydatki na zakup materiałów biurowych (papier xero, druki, etyliny do samochodu, środki czystości)</t>
  </si>
  <si>
    <t>8). Opłaty czynszowe za pomieszczenia biurowe</t>
  </si>
  <si>
    <t>9). Zakup energii</t>
  </si>
  <si>
    <t>10). Wydatek na PFRON</t>
  </si>
  <si>
    <t>11). Pozostałe wydatki bieżące</t>
  </si>
  <si>
    <t>1). Wynagrodzenia osobowe pracowników (19,45 etatów - dofinansowanie - 22 osoby + 4 etatów samorządowych - 4 osoby)</t>
  </si>
  <si>
    <t>- pozostałe wydatki bieżące</t>
  </si>
  <si>
    <r>
      <t>Realizacja projektu</t>
    </r>
    <r>
      <rPr>
        <b/>
        <sz val="18"/>
        <rFont val="Times New Roman"/>
        <family val="1"/>
        <charset val="238"/>
      </rPr>
      <t xml:space="preserve"> "Aktywni na rynku pracy" </t>
    </r>
    <r>
      <rPr>
        <sz val="18"/>
        <rFont val="Times New Roman"/>
        <family val="1"/>
        <charset val="238"/>
      </rPr>
      <t xml:space="preserve">przez </t>
    </r>
    <r>
      <rPr>
        <b/>
        <sz val="18"/>
        <rFont val="Times New Roman"/>
        <family val="1"/>
        <charset val="238"/>
      </rPr>
      <t>Miejski Ośrodek Pomocy Społecznej w Łęcznej - WPF</t>
    </r>
  </si>
  <si>
    <r>
      <t>Realizacja projektu</t>
    </r>
    <r>
      <rPr>
        <b/>
        <sz val="18"/>
        <rFont val="Times New Roman"/>
        <family val="1"/>
        <charset val="238"/>
      </rPr>
      <t xml:space="preserve"> "Droga do niezależności" </t>
    </r>
    <r>
      <rPr>
        <sz val="18"/>
        <rFont val="Times New Roman"/>
        <family val="1"/>
        <charset val="238"/>
      </rPr>
      <t xml:space="preserve">przez </t>
    </r>
    <r>
      <rPr>
        <b/>
        <sz val="18"/>
        <rFont val="Times New Roman"/>
        <family val="1"/>
        <charset val="238"/>
      </rPr>
      <t>Miejski Ośrodek Pomocy Społecznej w Łęcznej - WPF</t>
    </r>
  </si>
  <si>
    <r>
      <t>Realizacja projektu</t>
    </r>
    <r>
      <rPr>
        <b/>
        <sz val="18"/>
        <rFont val="Times New Roman"/>
        <family val="1"/>
        <charset val="238"/>
      </rPr>
      <t xml:space="preserve"> "Samodzielni i niezależni" </t>
    </r>
    <r>
      <rPr>
        <sz val="18"/>
        <rFont val="Times New Roman"/>
        <family val="1"/>
        <charset val="238"/>
      </rPr>
      <t xml:space="preserve">przez </t>
    </r>
    <r>
      <rPr>
        <b/>
        <sz val="18"/>
        <rFont val="Times New Roman"/>
        <family val="1"/>
        <charset val="238"/>
      </rPr>
      <t>Miejski Ośrodek Pomocy Społecznej w Łęcznej - WPF</t>
    </r>
  </si>
  <si>
    <t>Usługi opiekuńcze i specjalistyczne usługi opiekuńcze</t>
  </si>
  <si>
    <r>
      <t xml:space="preserve">Środki na zadania własne dla </t>
    </r>
    <r>
      <rPr>
        <b/>
        <sz val="18"/>
        <rFont val="Times New Roman"/>
        <family val="1"/>
        <charset val="238"/>
      </rPr>
      <t>Miejskiego Ośrodka Pomocy Społecznej w Łęcznej</t>
    </r>
  </si>
  <si>
    <r>
      <t xml:space="preserve">Realizacja imprezy </t>
    </r>
    <r>
      <rPr>
        <b/>
        <sz val="18"/>
        <rFont val="Times New Roman"/>
        <family val="1"/>
        <charset val="238"/>
      </rPr>
      <t>"Powitanie wakacji"</t>
    </r>
    <r>
      <rPr>
        <sz val="18"/>
        <rFont val="Times New Roman"/>
        <family val="1"/>
        <charset val="238"/>
      </rPr>
      <t xml:space="preserve"> przez </t>
    </r>
    <r>
      <rPr>
        <b/>
        <sz val="18"/>
        <rFont val="Times New Roman"/>
        <family val="1"/>
        <charset val="238"/>
      </rPr>
      <t>Miejski Ośrodek Pomocy Społecznej w Łęcznej</t>
    </r>
  </si>
  <si>
    <t>4). Wynagrodzenia bezosobowe</t>
  </si>
  <si>
    <t>WYPŁATA ŚWIADCZEŃ SPOŁECZNYCH</t>
  </si>
  <si>
    <t>wypłata świadczeń rodzinnych 500+</t>
  </si>
  <si>
    <t>III</t>
  </si>
  <si>
    <t>1). Wydatek na zakup środków ochrony indywidualnej oraz odzieży i obuwia roboczego</t>
  </si>
  <si>
    <t xml:space="preserve">2). Wydatki na zakup materiałów biurowych i wyposażenia </t>
  </si>
  <si>
    <t>3). Wydatki na zwrot delegacji służbowych</t>
  </si>
  <si>
    <t>4). Odpis na ZFŚS</t>
  </si>
  <si>
    <t>5). Zakup usług telefonicznych</t>
  </si>
  <si>
    <t>6). Zakup energii</t>
  </si>
  <si>
    <t>7). Pozostałe wydatki bieżące</t>
  </si>
  <si>
    <t>1). Wynagrodzenia osobowe pracowników (2 osoby, 7 dodatków specjalnych; 2 etaty)</t>
  </si>
  <si>
    <t xml:space="preserve">3). Składki na ubezpieczenie społeczne i fundusz pracy </t>
  </si>
  <si>
    <t xml:space="preserve"> zasiłki rodzinne</t>
  </si>
  <si>
    <t xml:space="preserve"> dodatek z tytułu urodzenia dziecka</t>
  </si>
  <si>
    <t xml:space="preserve"> jednorazowa zapomoga z tytułu urodzenia dziecka</t>
  </si>
  <si>
    <t xml:space="preserve"> dodatek z tytułu opieki nad dzieckiem w okresie korzystania z urlopu wychowawczego</t>
  </si>
  <si>
    <t xml:space="preserve"> dodatek z tytułu samotnego wychowywania dzieci</t>
  </si>
  <si>
    <t xml:space="preserve"> dodatek z tytułu wychowywania dziecka w rodzinie wielodzietnej</t>
  </si>
  <si>
    <t xml:space="preserve"> dodatek z tytułu kształcenia i rehabilitacji dziecka niepełnosprawnego</t>
  </si>
  <si>
    <t xml:space="preserve"> dodatek z tytułu rozpoczęcia roku szkolnego</t>
  </si>
  <si>
    <t xml:space="preserve"> dodatek z tytułu podjęcia przez dziecko nauki w szkole poza miejscem zamieszkania - zamieszkanie</t>
  </si>
  <si>
    <t xml:space="preserve"> dodatek z tytułu podjęcia przez dziecko nauki w szkole poza miejscem zamieszkania - dojazdy</t>
  </si>
  <si>
    <t>fundusz alimentacyjny</t>
  </si>
  <si>
    <t>świadczenie rodzicielskie</t>
  </si>
  <si>
    <t xml:space="preserve"> zasiłek pielęgnacyjny</t>
  </si>
  <si>
    <t>zasiłek dla opiekuna</t>
  </si>
  <si>
    <t>specjalny zasiłek opiekuńczy</t>
  </si>
  <si>
    <t xml:space="preserve"> świadczenie pielęgnacyjne</t>
  </si>
  <si>
    <t xml:space="preserve"> świadczenie "za życiem"</t>
  </si>
  <si>
    <t xml:space="preserve">2). Wydatki na zakup materiałów biurowych </t>
  </si>
  <si>
    <t>4). Wydatki na ubezpieczenie majątku i osób</t>
  </si>
  <si>
    <t>5). Odpis na ZFŚS</t>
  </si>
  <si>
    <t>6). Wydatek na opłatę kosztów postępowania sądowego 
i prokuratorskiego</t>
  </si>
  <si>
    <t>1). Wynagrodzenia osobowe pracowników (6 osób; 5 etatów)</t>
  </si>
  <si>
    <t xml:space="preserve">1). Wynagrodzenia osobowe pracowników </t>
  </si>
  <si>
    <t>2). Składki na ubezpieczenie społeczne i fundusz pracy</t>
  </si>
  <si>
    <t>Karta Dużej Rodziny</t>
  </si>
  <si>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realizcję rządowego programu dla rodzin wielodzietnych</t>
    </r>
  </si>
  <si>
    <t>2). Koszty związane z zatrudnieniem asystenta rodziny - 2 etaty</t>
  </si>
  <si>
    <t>3). Wydatek na zakup środków ochrony indywidualnej oraz odzieży i obuwia roboczego</t>
  </si>
  <si>
    <t>4). Podróże służbowe</t>
  </si>
  <si>
    <t>6). Zakup usług zdrowotnych</t>
  </si>
  <si>
    <t>1). Opłaty za pobyt dzieci w placówkach opiekuńczo-wychowawczych - 2 dzieci lub rodzinach zastępczych - 32 dzieci oraz w zawodowych rodzinach zastępczych - 6 dzieci</t>
  </si>
  <si>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realizację programu "Dobry Start"</t>
    </r>
  </si>
  <si>
    <t>3). Wynagrodzenia bezosobowe</t>
  </si>
  <si>
    <t>1). Wydatek na zakup materiałów i wyposażenia</t>
  </si>
  <si>
    <t>2). Pozostałe wydatki bieżące</t>
  </si>
  <si>
    <t>W ramach tego zadania zostało naprawione uziemienie ochronne i główne lokali mieszkalnych zgodnie ze zleceniem nr PGM/24/2020 z dnia 20.05.2020 r.</t>
  </si>
  <si>
    <t xml:space="preserve">W ramach tego zadania poniesiono koszty za opłaty sądowe w sprawach windykacyjnych i eksmisyjnych lokatorów Gminy Łęczna. </t>
  </si>
  <si>
    <t>Sporządzenie zmiany miejscowego planu zagospodarowania przestrzennego Gminy Łęczna -  II etap</t>
  </si>
  <si>
    <t>W ramach realizacji powyższego zadania firma GIAP Sp. z o. o. na podstawie zlecenia PGM.272.6.2020 z dnia 04.02.2020r. dostarczyła i zainstalowała aplikację GIS - Samorządową Platformę Danych Przestrzennych. Wykonawca przetworzył do postaci cyfrowej, wektorowej oraz rastrowej obowiązujące plany zagospodarowania przestrzennego Gminy Łęczna.</t>
  </si>
  <si>
    <t>Świadczenie usług serwisowych nad oprogramowaniem Samorządowej Platformy Danych Przestrzennych</t>
  </si>
  <si>
    <t>W ramach realizacji tego zadania uregulowano opłaty w Sądzie Rejonowym Lublin - Wschód w Lublinie z siedzibą w Świdniku związane ze złożonymi wnioskami wieczysto-księgowymi.</t>
  </si>
  <si>
    <t>W ramach realizacji  tego zadania zostały zakupione wypisy i wyrysy z Ewidencji Gruntów i Budynków Starostwa Powiatowego w Łęcznej w postaci dokumentów drukowanych. Geodeta Kazimierz Domański wykonał geodezyjny podział nieruchomości poł. w Podzamczu o nr działki 2/11 na trzy dzialki.</t>
  </si>
  <si>
    <t>zakupy związane z promocją (zakup materiałów promocyjnych, wiązanek okolicznościowych, uchwytów na słupy do flag)</t>
  </si>
  <si>
    <t xml:space="preserve">usługi związane z promocją </t>
  </si>
  <si>
    <t>usługi związane ze współpracą z miastami partnerskimi (koszty związane z pobytem w Łęcznej delegacji z miasta partnerskiego Wołożyn na Białorusi)</t>
  </si>
  <si>
    <t>W ramach realizacji zadania kupiono projektor multimedialny</t>
  </si>
  <si>
    <t xml:space="preserve">5. Odpis na ZFŚS </t>
  </si>
  <si>
    <t xml:space="preserve">zakup wody do dystrybutora, zakup wody butelkowanej, dzierżawa dystrybutora </t>
  </si>
  <si>
    <t xml:space="preserve">rozmowy telefoniczne </t>
  </si>
  <si>
    <t>zawarto umowę na inspektora danych osobowych</t>
  </si>
  <si>
    <t>paliwo do samochodu służbowego, przegląd, części do samochodu służbowego, naprawa auta, ubezpieczenie</t>
  </si>
  <si>
    <t>zakup maseczekm przyłbic i płynów dezynfekujących</t>
  </si>
  <si>
    <t>Oprawa i konserwacja ksiąg stanu cywilnego oraz ksiąg meldunkowych</t>
  </si>
  <si>
    <t xml:space="preserve">WYDATKI PŁACOWE </t>
  </si>
  <si>
    <t>6. Wpłaty na PFRON</t>
  </si>
  <si>
    <t>konserwacja  i serwis systemu alarmowego wraz z usługami grupy interwencyjnej, przeglądy instalacji gazowej, elektrycznej, kominów, klimatyzacji, gaśnic, hydrantów</t>
  </si>
  <si>
    <t>środki czystości, artykuły gospodarcze, elektryczne, hydrauliczne, malarskie, budowlane (w tym m.in. zakup materiałów w związku z remontem sposobem gospodarskim kancelarii i pokoju biurowego st. ds. kadr)</t>
  </si>
  <si>
    <t>usługi elektryczne, pralnicze, drobne usługi remontowe, bieżące naprawy</t>
  </si>
  <si>
    <t>zakup mebli i wyposażenia</t>
  </si>
  <si>
    <t>materiały biurowe, papier, tusze, druki, pieczęcie</t>
  </si>
  <si>
    <t>kompleksowa obsługa urządzeń drukujących</t>
  </si>
  <si>
    <t>prenumerata prasy, czasopism, wydawnictwa prawne, poradniki</t>
  </si>
  <si>
    <t>naprawy, przeglądy, konserwacja urządzeń biurowych</t>
  </si>
  <si>
    <t>zakup użytkowych programów komputerowych (licencja na Legislator Standard w wersji Open na 12 miesięcy oraz zakup podpisów elektronicznych dla pracowników)</t>
  </si>
  <si>
    <t>konserwacja, serwis posiadanego oprogramowania, nadzór eksploatacyjny, abonament BIP</t>
  </si>
  <si>
    <t>wykonywanie zadań Inspektora Ochrony Danych oraz świadczenie usług w zakresie doradztwa informatycznego</t>
  </si>
  <si>
    <t>wydatki rzeczowe związane z organizacją spotkań i uroczystości (zakup artykułów spożywczych)</t>
  </si>
  <si>
    <t>paliwo, oleje, części zamienne, naprawy i przeglądy samochodów służbowych</t>
  </si>
  <si>
    <t>opłaty za przesyłki pocztowe, opłaty RTV</t>
  </si>
  <si>
    <t>opłaty za telefony stacjonarne</t>
  </si>
  <si>
    <t>opłaty za Internet, utrzymanie domeny staremiastoleczna.pl, abonament za udostępnienie konta poczty elektronicznej</t>
  </si>
  <si>
    <t>ubezpieczenie budynków, mienia, samochodów służbowych</t>
  </si>
  <si>
    <t>Świadczenie pomocy prawnej na rzecz Gminy Łęczna</t>
  </si>
  <si>
    <t>Wybory Prezydenta Rzeczpospolitej Polskiej</t>
  </si>
  <si>
    <t>Wydatki związane z pokryciem kosztów związanych z przeprowadzeniem Wyborów Prezydenta RP</t>
  </si>
  <si>
    <t>Koszty związane z obsługą systemu - wysyłka korespondencji, zakup materiałów biurowych, kompleksowa obsługa urządzeń drukujących</t>
  </si>
  <si>
    <t>Realizacja zadania w II półroczu 2020r.</t>
  </si>
  <si>
    <t>W ramach realizacji zadania  wykonano remont wiaty przystankowej w m. Łuszczów Kolonia  wykonany na podstawie zlecenia  GKiOŚ.271.3.9.2020  przez RODEX R. Woś.</t>
  </si>
  <si>
    <t>Oznakowanie stref obszaru zapowietrzonego wykonane na podstawie zlecenia GKiOŚ.271.3.10.2020 przez DOMINO-ZNAK , ustawiono 3 szt. tablic przy drogach wojewódzkich Nr 820 i 813.</t>
  </si>
  <si>
    <t>Edukacja ekologiczna w zakresie selektywnego zbierania odpadów komunalnych na terenie gminy Łęczna</t>
  </si>
  <si>
    <t>fhfr</t>
  </si>
  <si>
    <t>Zakup sprzętu komunalnego na potrzeby Referatu GKiOŚ (zamiatarka)</t>
  </si>
  <si>
    <t>Realizacja zadania  w II półroczu 2020r.</t>
  </si>
  <si>
    <t xml:space="preserve">Zlecane były prace pielęgnacyjne w zieleni miejskiej - Plac Powstań Narodowych - umowa nr GKiOŚ.21/2020 ze Spółdzielnią Socjalną "Pod dobrym adresem" </t>
  </si>
  <si>
    <t>Zakupy inwestycyjne dla UM w Łęcznej (zakup sprzętu komunalanego na potrzeby Referaru GKiOŚ - ciągnik komunalny z wywrotką i osprzętem np.: ładowacz czołowy i in.)</t>
  </si>
  <si>
    <t>W ramach realizacji zadania przeprowadzono  postępowanie przetargowe  i zakupiono od PHU ROLMAX ciągnik NEW HOLLAND T4.75S , przyczepę samowyładowczą PRONAR T653/2, kosiarkę tylno-boczną TELEX RB160 oraz ładowacz czołowy z szuflą METAL-TECHNIK MTS 1200 - wydatek za zakup maszyn w II półroczu 2020r.</t>
  </si>
  <si>
    <t>Labolatorium Miejskie Programu Estetyka dla Miasta Łęczna</t>
  </si>
  <si>
    <t>W ramach realizacji zadania na podstawie umowy nr GKiOŚ.34/2020 zawartej z ELROX J. Roczon zostało wybudowane oświetlenie drogi gminnej w m. Zofiówka w zakresie ustawienia 6 szt. słupów oświetleniowych  z oprawami LED na wybudowanych fundamentach prefabrykowanych i linii kablowej z roku 2019.</t>
  </si>
  <si>
    <t>W ramach realizacji zadania na podstawie umowy nr GKiOŚ.36/2020 zawartej z ELROX J. Roczon zostało wybudowane oświetlenie drogi gminnej ul. Bocznej Bazarowej  w zakresie ustawienia 3 szt. słupów oświetleniowych  z oprawami LED na wybudowanych fundamentach prefabrykowanych i linii kablowej .</t>
  </si>
  <si>
    <t xml:space="preserve">W ramach zadania zlecono na podstawie umowy Nr GKiOŚ.13/2020  roboty przy naprawie sieci kanalizacji deszczowej  -oczyszczanie wpustów kanalizacji deszczowej w ilości 150 szt.   </t>
  </si>
  <si>
    <t xml:space="preserve">Zadanie realizowane przez Gminę w związku z obowiązkiem ustawowym jako zadanie własne. Zawarto umowę GKiOŚ.6/2020  ze Schroniskiem Dla Bezdomnych Zwierząt w m. Nowodwór gm. Lubartów na odłów bezdomnych psów z terenu Gminy. W ramach jej realizacji odłowiono 12 szt. bezdomnych psów, zlecono opiekę weterynaryjną dla szt. 4   psów poszkodowanych w wypadkach samochodowym. Poniesiono również koszty całodobowej opieki weterynaryjnej w przypadkach nagłych umowa  nr GKiOŚ.12/2020 z Gabinetem Weterynaryjnym PIOWET </t>
  </si>
  <si>
    <t>W ramach zadania ponoszone były koszty sterylizacji i kastracji wolno żyjących kotów wykonano 24 zabiegi przez Gabinet Weterynaryjny  PIOWET umowa  nr GKiOŚ.12/2020</t>
  </si>
  <si>
    <t xml:space="preserve">W ramach realizacji zadania zakupiono chemię basenową GKiOŚ.7021.49.4.2020 , ponoszone były koszty dostawy wody zgodnie z umową GKiOŚ.272.35.2015 z PGKiM Łęczna, </t>
  </si>
  <si>
    <t>W ramach zadania zlecono wykonanie okresowych kontroli placów zabaw zlecenie GKiOŚ.7021.28.2020.PH  wykonane przez Krajowy Rejestr Placów Zabaw</t>
  </si>
  <si>
    <t>W ramach zadania zakupiono mapy i wypisy z rejestrów gruntów dla działek objętych opracowaniem nowych operatów wodnoprawnych</t>
  </si>
  <si>
    <t>Kontrole okresowe oraz prowadzenie placów zabaw znajdujących się na terenie Gminy Łęczna i administrowanych przez Urząd Miejski w Łęcznej, zgodnie z art. 62 ustawy z dnia 7 lipca 1994 r. Prawo budowlane (Dz. U. z 2018 r. poz. 1202 z późn. zm.).</t>
  </si>
  <si>
    <t>Środki na realizację zadania pn. Zwiększanie dostępności terapeutycznej i rehabilitacyjnej dla mieszkańców gminy Łęczna - osób uzależnionych, współuzależnionych oraz osób zagrożonych uzależnieniem</t>
  </si>
  <si>
    <t>Wynagrodzenie za pracę GKRPA, w tym należność za wynagrodzenia za grudzień 2019;   opłaty sądowe związane ze skierowaniem przez GKRPA wniosków o wszczęcie postępowania w sprawie zastosowania obowiązku poddania się leczeniu w zakładzie lecznictwa odwykowego (4 wnioski)</t>
  </si>
  <si>
    <t>Środki na realizację zadania pn. Zwiększanie dostępności terapeutycznej i rehabilitacyjnej dla mieszkańców gminy Łęczna - osób uzależnionych od alkoholu oraz udzielania pomocy psychospołecznej rodzinom, w których występują problemy alkoholowe</t>
  </si>
  <si>
    <t>Środki na realizację zadania pn. Prowadzenie profilaktycznej działalności informacyjnej i edukacyjnej w zakresie rozwiązywania problemów alkoholowych skierowanej w szczególności do dzieci i młodzieży oraz pomoc dzieciom z rodzin z problemem alkoholowym</t>
  </si>
  <si>
    <r>
      <t xml:space="preserve">Dotacja dla </t>
    </r>
    <r>
      <rPr>
        <b/>
        <sz val="18"/>
        <rFont val="Times New Roman"/>
        <family val="1"/>
        <charset val="238"/>
      </rPr>
      <t>Parafii pw św. Barbary w Łęcznej</t>
    </r>
  </si>
  <si>
    <r>
      <t xml:space="preserve">Dotacja dla </t>
    </r>
    <r>
      <rPr>
        <b/>
        <sz val="18"/>
        <rFont val="Times New Roman"/>
        <family val="1"/>
        <charset val="238"/>
      </rPr>
      <t>Parafii pw św. Marii Magdaleny w Łęcznej</t>
    </r>
  </si>
  <si>
    <t>Środki na realizację zadania pn. Rozwiązywanie problemów alkoholowych, profilaktyczna działalność informacyjna i edukacyjna, w tym programy opiekuńczo-wychowawcze</t>
  </si>
  <si>
    <t>Przegląd Hejnałów, Święto Narodowe 3-go Maja, Narodowe Święto Niepodległości</t>
  </si>
  <si>
    <t>Środki przeznaczone na realizację zadania pn. XIII Ogólnopolski Konkurs Rysunku Węglem (umowa rozwiązana za porozumieniem stron w dniu 27.05.2020</t>
  </si>
  <si>
    <t>Popularyzacja lokalnego dziedzictwa kulturowo-historycznego Łęcznej, upowszechnianie informacji o historii regionu</t>
  </si>
  <si>
    <t>6. Zakup skanera do dowodów osobistych</t>
  </si>
  <si>
    <r>
      <t>21). Pozostałe wydatki bieżące -</t>
    </r>
    <r>
      <rPr>
        <i/>
        <sz val="18"/>
        <rFont val="Times New Roman CE"/>
        <charset val="238"/>
      </rPr>
      <t xml:space="preserve">  prenumerata prasy 457,05 zł,  badania profilaktyczne 204,00 zł,  przeglądy 800,00 zł, opłata za telefon i internet  904,66 zł , opłaty pocztowe  64,15 zł, opłaty za CBI i programy   magaz. 2 401,76 zł,  RTV 245,15 zł,  uslugi informatyczne  2 250,00 zł,  zabezpieczenie przed szkodnikami 590,40 zł,  pozostałe 675,06 zł, kosa spalinowa 359 zł</t>
    </r>
  </si>
  <si>
    <t>gbhf</t>
  </si>
  <si>
    <t>gbhfr</t>
  </si>
  <si>
    <r>
      <t xml:space="preserve">Dotacja dla </t>
    </r>
    <r>
      <rPr>
        <b/>
        <sz val="18"/>
        <rFont val="Times New Roman"/>
        <family val="1"/>
        <charset val="238"/>
      </rPr>
      <t>Żłobka "Aniołek"</t>
    </r>
  </si>
  <si>
    <t>W ramach realizacji zadania na podstawie Uchwały Rady Miejskiej Nr XX/122/2020  oraz umowy Nr 4/2020 z dn. 16.04.2020 roku udzielono pomocy Powiatowi Łęczyńskiemu w realizacji inwestycji przebudowy drogi powiatowej Nr 2003L w m. Witaniów.</t>
  </si>
  <si>
    <t xml:space="preserve">W ramach realizacji zadania zakupiono kruszywo drogowe mineralne oraz piasek do doraźnych remontów dróg gminnych w ilości 133,48 Mg  i 108,6 Mg. Zakupu dokonano na podstawie zawartej umowy nr GKiOŚ.25/2020  z  firmą MADURA ( rozliczenie finansowe dokonanych zakupów w II półroczu 2020 roku - opłacenie) oraz wykonywano inne roboty remontowe przy wykorzystaniu maszyn -  koparko ładowarka 11 godz., samochodu ciężarowego 45  godz, walec drogowy 4,5 godz. </t>
  </si>
  <si>
    <t>W ramach zadania w okresie zimowym zlecano bieżące utrzymanie dróg, ulic gminnych w zakresie odśnieżania i zwalczania śliskości przez zleceniobiorców wyłonionych w postępowaniu przetargowym. Wyłoniono wykonawcę dla terenów wiejskich firmę Łęcz-Bud oraz dla ulic miejskich firma PARKO. W ramach tych  umów zlecono następujące ilości godzin  na wykonanie prac na terenach miejskich:  pługo-piaskarko-solarka - 82 godz., ciągnik z piaskarko-solarką - 82 godz.,( umowa GKiOŚ.3/2020)  i wiejskich: piaskarko-solarka - 135 godz ( umowa  GKiOŚ.5/2020).</t>
  </si>
  <si>
    <t>W ramach zadania w okresie zimowym realizowano bieżące utrzymanie chodników i placów gminnych w zakresie odśnieżania i zwalczania śliskości przez zleceniobiorcę wyłonionego w postępowaniu przetargowym firmę F.H.U DAR-MA  umowa nr GKiOŚ.4/2020. Zlecono następujące godziny prac: ciągnik z pługiem i piaskarko-solarką - 2,5 godz., ciągnik z pługiem  - 2,5 godz., ciągnik z piaskaro-solarką  - 2,5 godz.</t>
  </si>
  <si>
    <t>W ramach realizacji zadania zlecono na podstawie umowy nr GKiOŚ.18/2020 Spółdzielni Socjalnej "Pod dobrym adresem" oczyszczanie przykrawężnikowe ulic miejskich z zanieczyszczeń pozostałych po okresie zimowym. Łącznie oczyszczono jednostronnie z opaską chodnikową 9.500 mb jezdni oraz bez opaski chodnikowej 10.000,00 mb jezdni.</t>
  </si>
  <si>
    <t>Wydatki na realizację zadania ponoszone zgodnie z decyzjami Starosty Łęczyńskiego OS.6124.129.2017 i OS.6124.165.2.2015 jako opłata za wyłączenie gruntów z użytkowania rolniczego.</t>
  </si>
  <si>
    <t>Zadanie w trakcie realizacji. W I półroczu zawarto umowę nr 272.3.2020 na budowę kładki pieszo-rowerowej nad drogą wojewódzką nr 820 w Łęcznej z terminem wykonania do 30.11.2020 roku.</t>
  </si>
  <si>
    <r>
      <t xml:space="preserve">Przebudowa drogi gminnej nr 105194L w Ciechankach Krzesimowskich i Piotrówku Drugim - </t>
    </r>
    <r>
      <rPr>
        <b/>
        <sz val="18"/>
        <rFont val="Times New Roman CE"/>
        <charset val="238"/>
      </rPr>
      <t>WPF</t>
    </r>
  </si>
  <si>
    <t>Zadanie w trakcie realizacji. W I półroczu zgodnie z umową nr IRG.272.6.2019 odebrano dokumentację projektową. Zawarto umowę nr IRG.272.11.2020 na przebudowę drogi z terminem wykonania do 18.11.2020 roku.</t>
  </si>
  <si>
    <t>Zadanie w trakcie realizacji.  W I półroczu zgodnie z umową nr IRG.272.17.2019 z terminem zakończenia do 04.09.2020 roku. Sporządzono część dokumentacji projektowej niezbędną do złożenia wniosku o dofinansowanie z Funduszu Dróg Samorządowych.</t>
  </si>
  <si>
    <t>Realizacja zadania w II półroczu 2020 roku.</t>
  </si>
  <si>
    <t>W ramach realizacji zadania zakupiono druki licencji na wykonywanie transportu taksówką osobową zamówienie GKiOŚ.7021.39.2020. z PH Polska Izba Gospodarcza.</t>
  </si>
  <si>
    <t>W ramach realizacji zadania wykonywano roboty remontowe dróg gminnych przy wykorzystaniu maszyn: koparko ładowarka 4,5 godz., walec drogowy  4,5 godz.</t>
  </si>
  <si>
    <t>W ramach realizacji zadania zakupiono do wykonania remontu drogi gminnej w m. Karolin. Kruszywo drogowe w ilości 46,82 Mg  oraz kruszywo pochodzące z recyklingu betonów w ilości 26,87 Mg zgodnie z umową nr GKiOŚ.31/2020 z firmą Trans-Met.</t>
  </si>
  <si>
    <t xml:space="preserve">Wydatki związane z eksploatacją budynków komunalnych               </t>
  </si>
  <si>
    <t xml:space="preserve">W ramach tego zadania wydatkowano środki na wypłatę zaliczek na pokrycie kosztów zarządu nieruchomością wspólną  w budynkach Wspólnot Mieszkaniowych (zgodnie z ustawą „o własności lokali”) oraz na opłaty za media w lokalach komunalnych i socjalnych będących własnością Gminy Łęczna. </t>
  </si>
  <si>
    <t>Pokryte zostały koszty zakupu materiałów eksploatacyjnych niezbędnych do wykonania konserwacji bieżących w budynkach, wykonano przeglądy instalacji gazowej, wentylacyjnej.  Uregulowane zostały opłaty za gospodarowanie odpadami komunalnymi oraz opłaty za dostarczenie wody do budynków stanowiących własność gminy.</t>
  </si>
  <si>
    <t>Została wykonana dezynfekcja mieszkania po zgonie przy ul. Rynek III/11 oraz remont tego mieszkania. Wykonane zostały przeglądy instalacji gazowej w bud. komunalnych w Łuszczów Kol. 13 i przy ul. Tysiąclecia 10. Uregulowany został podatek od nieruchomości za 2020 rok.</t>
  </si>
  <si>
    <t>W ramach tego zadania wydatkowano środki dotyczące kosztów zarządzanie lokalami i budynkami (komunalnymi, socjalnymi, użytkowymi) oraz dotyczące kosztów prac konserwacyjnych na budynkach stanowiących własność gminy Łęczna zgodnie z umową nr PGM.272.1.2018 z dnia 03.01.2018 roku.</t>
  </si>
  <si>
    <t>W ramach tego zadania wydatkowano środki dotyczące kosztów utrzymanie lokalu mieszkalnego nr 12, będącego własnością gminy, położonego przy ul. Wrzosowej 3, w tym: opłaty czynszowe za lokal, refundowane przez najemcę.</t>
  </si>
  <si>
    <t>Zadanie nie zostało zrealizowane w I półroczu 2020 roku, przewidywana realizacja w II półroczu.</t>
  </si>
  <si>
    <t>Zadanie nie zostało zrealizowane w I półroczu 2020 r, przewidywana realizacja w II półroczu 2020 roku.</t>
  </si>
  <si>
    <t>Zadanie nie zostało zrealizowane w I półroczu 2020 roku.</t>
  </si>
  <si>
    <t xml:space="preserve">W ramach realizacji tego zadania zostało wypłacone: odszkodowanie w wysokości 6.000 zł za działkę nr 3237 o pow. 0,0185 ha. poł. w Łęcznej, odszkodowanie w wysokości 11.000 zł. za działkę nr 2703/13 o pow. 0,0085 ha. poł. w Łęcznej oraz 3000 zł  za działkę nr 281/1 o pow. 0,0163 ha. poł. w Ciechankach Krzesimowskich. Działki zostały wydzielone pod drogi gminne z nieruchomości prywatnych i z mocy prawa przeszły na własność gminy. </t>
  </si>
  <si>
    <t>W ramach realizacji zadania w dniu 08.06.2020 roku została podpisana umowa nr PGM/27/2020 z Instytutrem Rozwoju Miast i Regionów na wykonanie opracowania zmiany miejscowego planu zagospodarowania przestrzennego Gminy Łęczna - etap II, w zakresie lokalizacji Elektrowni IGCC w miejscowości Stara Wieś oraz w zakresie realizacji infrastruktury technicznej.</t>
  </si>
  <si>
    <t>W ramach realizacji tego zadania została podpisana umowa nr PGM/20/2020 z dnia 16.04.2020r na świadczenie usług serwisowych oraz dostarczanie nowej wersji oprogramowania, zapewnienie publikacji danych wektorowych zasobu planistycznego gminy na portalu mapowym przez okres trwania umowy czyli do 31.12.2020 roku.</t>
  </si>
  <si>
    <t xml:space="preserve">W ramach realizacji powyższego zadania regulowane są na bieżąco opłaty za media (wodę i ścieki, odbiór odpadów komunalnych, odbiór odpadów medycznych, energię elektryczną, ). Zakupiono środki czystości, środki chwastobójcze. Zakupione zostały środki do dezynfekcji rąk oraz powierzchni. </t>
  </si>
  <si>
    <t xml:space="preserve">Uregulowany został podatek od nieruchomości za 2020r.Wykonany został serwis kosiarki oraz wymiana silnika. Wykonano przegląd kominiarski w domu przedpogrzebowym.  W ramach realizacji zadania w dniu 27.04.2020r. została podpisana umowa nr PGM/18/2020 z Przedsiębiorstwem "PARKO" Redzik, Grzywa, Moniak Sp. j. na zakup i montaż  30 grobów z komorami grobowymi podwójnymi oraz wykonanie pomiarów i obsługę geodezyjną  na czas wykonywania grobów na kwotę 66.383,10 brutto. </t>
  </si>
  <si>
    <t>Termin realizacji umowy wyznaczono do 31.07.2020 roku. Wydatkowano środki na wypłatę wynagrodzenia z tytułu umowy zlecenia nr PGM/17/2020 z dnia 01.04.2020 roku za czynności polegające na obsłudze cmentarza.</t>
  </si>
  <si>
    <t xml:space="preserve">W ramach realizacji zadania zlecono na podstawie umowy sprzątanie terenu placu targowego z zanieczyszczeń powstałych w dniu targowym, usługa świadczona przez Spółdzielnię  Socjalną "Pod dobrym adresem"  umowa GKiOŚ.2/2020. Ponoszone były również koszty dostawy energii  elektrycznej, wody  oraz odprowadzania ścieków z toalet oraz pomieszczeń administracyjnych </t>
  </si>
  <si>
    <t>W ramach realizacji zadania uregulowana została opłata roczna z tytułu użytkowania wieczystego gruntów Skarbu Państwa oznaczonego numerem działki 1747/4 poł. w Łęcznej .</t>
  </si>
  <si>
    <t>W ramach realizacji tego  zadania w lokalnej prasie (Gazecie Wyborczej oraz Kurierze Lubelskim) ukazały się ogłoszenia dotyczące wykazów nieruchomości poł. w Łęcznej, stanowiących mienie komunalne przeznaczonych do dzierżawy oraz nieruchomości przeznaczonych do sprzedaży w drodze bezprzetargowej, a także ogłoszenie w sprawie przetargu nieograniczonego na sprzedaż nieruchomości poł. w Łęcznej w pobliżu ul. Suffczyńskich.</t>
  </si>
  <si>
    <t>W ramach realizacji zadania Biuro Obsługi Rynku Nieruchomości, Rzeczoznawca Majątkowy Marek Roszczewski wykonał operaty  szacunkowe wyceny nieruchomości położonych na terenie miasta i gminy Łęczna w celu naliczenia opłaty adiacenckiej oraz opłaty planistycznej. Została sporządzona wycena nieruchomości zabudowanej budynkiem starego spichlerza poł. w miejscowości Podzamcze o nr działek 2/14, 10/2 oraz wycena nieruchomości niezabudowanej poł. w Łęcznej o nr działki 3010/8.</t>
  </si>
  <si>
    <t>Zadanie do realizacji w II półroczu 2020 roku.</t>
  </si>
  <si>
    <t>zakup i wdrożenie modułu do programu kadrowo-płacowego (ewidencja czasu pracy pracowników) - realizacja w II półroczu 2020 roku</t>
  </si>
  <si>
    <t>aktualnienie i przygotowanie dokumentów bezpieczenstwa systemu teleinformatycznego (SWB i PPE) oraz sprawdzenie szacowania ryzyka - wydatek nastąpi w II półroczu 2020 roku</t>
  </si>
  <si>
    <t>odnowienie licencji na ruter UTM na 3 lata - realizacja w II półroczu 2020 roku</t>
  </si>
  <si>
    <t xml:space="preserve">wznowienie opłaty licencyjnej - pomoc materialna 499 zł; opłaty za wjazd na giełdę towarową, zakup paliwa do kosy spalinowej, wykonywanie pieczątek, zakup drobnych akcesoriów komputerowyc, usługa wyważania kół w samochodzie; opłata za przyjęcie makulatury PGKiM,  pozostałe 281,66 zł. </t>
  </si>
  <si>
    <r>
      <t xml:space="preserve">13). Pozostałe wydatki bieżące - </t>
    </r>
    <r>
      <rPr>
        <i/>
        <sz val="18"/>
        <rFont val="Times New Roman CE"/>
        <charset val="238"/>
      </rPr>
      <t>paliwo do samochodów   4 375 zł; obsługa prawna jednostek oświatowych 12 750 zł; abonamenty- program LEX,  podpisy elektroniczne, strona internetowa, dostęp do Portalu Oświatowego; pełnienie funkcji IOD,system alarmowy, wizyjny w budynku 7 250 zł;</t>
    </r>
  </si>
  <si>
    <t>serwis kserokopiarek 1 510 zł; raty za najem kserokopiarki 829 zł; opłaty pocztowe 250 zł; abonamenty telefoniczne 3 815 zł; przeglądy -   sprzętu p/poż. 40 zł; badania lekarskie 78 zł; podatek od nieruchomości 2 996 zł; opłata za trwały zarząd 942 zł; prasa i materiały szkoleniowe 350 zł;</t>
  </si>
  <si>
    <t>Środki na realizację tego zadania nie zostały wykorzystane ponieważ do 30 czerwca 2020 roku nie wpłynęły od żołnierzy wnioski o pokrycie należności mieszkaniowych.</t>
  </si>
  <si>
    <t>umowy zlecenia dla kierowców jednostek OSP - 10.575,35 zł</t>
  </si>
  <si>
    <t>poniesienie wydatków związanych z uczestnictwem członków OSP w akcjach pożarniczych (wypłata ekwiwalentów) - 4.481,20 zł</t>
  </si>
  <si>
    <t>zakup wyposażenia dla jednostek OSP m.in. zakup masek oraz środków ochrony (rękawice i płyn do dezynfekcji) dla jednostek OSP w związku z epidemią związaną z zakażeniami wirusem SARS-CoV-2, zakup paliwa dla jednostek OSP, zakup węży do motopompy dla jednostki OSP Łuszczów-Kolonia, zakup materiałów do wykonania remontu kontenera (strażnicy) OSP Stara Wieś oraz oświetlenia do wymienionego kontenera (strażnicy), zakup akumulatora do motopompy dla jednostki OSP Ciechanki Krzesimowskie, paliwo - 6.612,28 zł</t>
  </si>
  <si>
    <t>opłaty za energię elektryczną w strażnicy OSP Nowogród - 137,88 zł</t>
  </si>
  <si>
    <t xml:space="preserve"> wykonanie remontu masek pełnotwarzowych jednostki OSP Łęczna oraz OSP Łuszczów-Kolonia, naprawa alternatora, instalacji elektrycznej w pojeżdzie jednostki OSP Łęczna - 979,38 zł</t>
  </si>
  <si>
    <t>przeprowadzenie badań okresowych strażaków jednostek OSP z terenu Gminy Łęczna - 767,00 zł</t>
  </si>
  <si>
    <t>przeprowadzenie badania technicznego pojazdu jednostki OSP Łuszczów-Kolonia, wykonanie przeglądu masek pełnotwarzowych dla OSP Łuszczów-Kolonia oraz wykonanie przeglądu aparatu powietrznego i masek pełnotwarzowych OSP Łęczna - 1377,42 zł</t>
  </si>
  <si>
    <t>wynajem garażu dla jednostki OSP Karolin  - 1.800,00 zł</t>
  </si>
  <si>
    <t xml:space="preserve"> ubezpieczenie pojazdów będących na wyposażeniu jednostek OSP z terenu Gminy Łęczna oraz ubezpieczenie strażaków - 4.523,20 zł</t>
  </si>
  <si>
    <t>Rozdysponowanie rezerwy kryzysowej na działania majacych na celu zapobieganie rozprzestrzeniania się zakażeń wirusem SARS - COV - 2</t>
  </si>
  <si>
    <t>Zakup środków do dezynfekcji powierzchni w budynkach UM w Łęcznej, środków do dezynfekcji rąk, maseczek ochronnych, rękawic jednorazowych dla pracowników UM w Łecznej, zakup sprzętu niezbędnego celem przeprowadzenia pracy zdalnej. Praca zdalna została wprowadzona Zarządzeniem Wewnętrznym Nr 8/2020 Burmistrza Łęcznej z dnia 24.03.2020 roku w sprawie szczegółowych rozwiązań w zakresie organizacji pracy w UM w Łęcznej mających na celu zapobieganie rozprzestrzenianiu sie zakażeń wirusem SARS - COV - 2, zakup tkanin, gumek, tasiemek, nici i igieł oraz opakowań przeznaczonych na wykonanie maseczek wielokrotnego użyutku dla mieszańców Gminy Łęczna. Wymienione materiały zostały przekazane wolontariuszom, którzy uszyją maseczki, usługa szycia maseczek wielokrotnego użytku dla mieszkanców Gminy Łęczna. Dostosowanie budynku urzędu i zorganizowanie stanowisk pracy do obsługi interesantów w holu UM w Łęcznej.</t>
  </si>
  <si>
    <t>Zadanie nie zostało zrealizowane w I półroczu 2020 r. Przewidywana realizacja w II półroczu 2020 roku.</t>
  </si>
  <si>
    <t xml:space="preserve">Zadanie w trakcie realizacji.  </t>
  </si>
  <si>
    <t>Zadanie w trakcie realizacji.  W I półroczu zgodnie z zamówieniem nr IRG.042.2.3.2020 sporządzono dokumenty potwierdzające osiągnięcie efektu ekologicznego dla projektu - umowa nr 222/2016/Wn-03/OA-TR-ZI/D.</t>
  </si>
  <si>
    <t>Zadania realizowane przez MOPS w Łęcznej, większość zaplanowanych przedsięwzieć nie zostanie zrealizowanych z uwagi na wprowadzony stan epidemiologiczny na obszarze kraju.</t>
  </si>
  <si>
    <t>Zajęcia realizowane w Szkole Podstawowej nr 2 w zakresie piłki nożnej, lekkoatletyki, pływania, siatkówkioraz w Szkole Podstawowej nr 4 w zakresie siatkówki, łącznie 6 umów.</t>
  </si>
  <si>
    <r>
      <t>Program Wychowawczo-Profilaktyczny realizowany w</t>
    </r>
    <r>
      <rPr>
        <b/>
        <i/>
        <sz val="18"/>
        <rFont val="Times New Roman"/>
        <family val="1"/>
        <charset val="238"/>
      </rPr>
      <t xml:space="preserve">Szkole Podstawowej Nr 4 w Łęcznej </t>
    </r>
  </si>
  <si>
    <t>W ramach realizacji zadania ponoszono koszty wynikające z zadań w zakresie gospodarowania odpadami oraz prowadzenia punktu selektywnej zbiórki odpadów umowy nr  GKiOŚ.67/2019  PGKiM Łęczna sp. zoo, w ramach prowadzonej działalności odebrano  łącznie od właścicieli posesji zamieszkałych   3 304,76  Mg  odpadów  w tym odpadów zmieszanych 521,84 Mg, 548,7 Mg odpadów zebranych selektywnie, odpadów BIO 26,66 Mg oraz  dostarczonych do PSZOK  740,42 Mg w tym odpady budowlane 335,54 Mg, zmieszane 252,22 Mg, popiołu 159,8 Mg pozostałe (meble, tekstylia , inne)152,22 Mg.</t>
  </si>
  <si>
    <t>Gmina Łęczna nieodpłatnie otrzymała oprogramowanie.</t>
  </si>
  <si>
    <r>
      <t>Utrzymanie czystości na terenie miasta i gminy (</t>
    </r>
    <r>
      <rPr>
        <i/>
        <sz val="18"/>
        <rFont val="Times New Roman CE"/>
        <charset val="238"/>
      </rPr>
      <t>w tym:  oczyszczanie przykrawężnikowe ulic, utrzymanie toalety, utylizacja padłych zwierząt i inne</t>
    </r>
    <r>
      <rPr>
        <sz val="18"/>
        <rFont val="Times New Roman CE"/>
        <family val="1"/>
        <charset val="238"/>
      </rPr>
      <t>)</t>
    </r>
  </si>
  <si>
    <t>W ramach realizacji zadania zlecono na podstawie umowy wykonawcy  firmie RODEX - umowa GKiOŚ.19/2020 - wykonywanie prac przy utrzymaniu terenów gminnych w ilości 519,5  r/godz. pracy przy ręcznym sprzątaniu , 250,5 r/godz. pracy samochodu ciężarowego do 3,5 t,   ponoszone były również koszty utrzymania toalety automatycznej  (koszt wody , ścieków , energii elektrycznej, przeglądów okresowych i napraw)</t>
  </si>
  <si>
    <t>W ramach realizacji zadania zlecano  koszenie miejskich terenów zielonych wraz z zebraniem pokosów  w ilości 1 885  ar. Zadanie realizowane na podstawie umowy  z  RODEX   nr GKiOŚ.20/2019 ( realizacja płatności za wykonane usługi w II półroczu 2020r.).  Zakupiono również narzędzia i sprzęty dla pracowników gospodarczych  zatrudnionych do pielęgnacji zieleni i utrzymania czystości na terenach gminnych.</t>
  </si>
  <si>
    <t>W ramach realizacji zadnia zlecano na podstawie umowy GKiOŚ.14/2020 P.W. Łęcz-Bud wykonywanie zabiegów pielęgnacyjnych drzewostanu w rejonie ul. Gwarków oraz usuwanie wiatrołomów w Parku Podzamcze.</t>
  </si>
  <si>
    <t>Zlecane były prace pielęgnacyjne w zieleni miejskiej  ronda przy  ul. Br. Wójcickich ul. Sufczyńskich - zlecenie  nr GKiOŚ.7021.13.2020 wykonawca  Spółdzielnia Socjalna "Pod dobrym adresem" .</t>
  </si>
  <si>
    <t xml:space="preserve">W ramach realizacji zadania poniesiono koszty zakupu energii elektrycznej do oświetlenia drogowego na terenie gminy przez sprzedawcę  PGE Obrót S.A.- umowa  Ł/EE/24/2019 oraz koszt konserwacji urządzeń oświetleniowych wykonywanych na zlecenie gminy przez PGE Dystrybucja SA umowa 01/RE-2/RM/2020   i  ZHUP "ELROX" - umowa GKiOŚ.1/2020. </t>
  </si>
  <si>
    <t xml:space="preserve">W ramach realizacji zadania zlecono na podstawie umowy Nr GKiOŚ.7/2020  RODEX R. Woś  oraz umowy Nr GKiOŚ.15/2020 Spółdzielni Socjalnej "Pod dobrym adresem"  wielokrotne opróżnianie ulicznych koszy na śmiecie  w ilości jednorazowo do 400 szt. </t>
  </si>
  <si>
    <t>W ramach realizacji zadania ponoszono koszty opłat za dzierżawę gruntów pokrytych wodami zgodnie z umową Nr 751/OL/2017 z dn. 20-12-2017r.  z RZGW w Lublinie oraz opłaty na rzecz RZGW za wody opadowe odprowadzane zbiorczymi systemami kanalizacji deszczowej .</t>
  </si>
  <si>
    <t>W ramach realizacji zadania ponoszone były koszty zakupu wody do zdroi ulicznych zlokalizowanych na terenie miasta zgodnie z umową GKiOŚ.272.40.2015 z PGKiM Łęczna</t>
  </si>
  <si>
    <t>W ramach realizacji zadania zlecono wymianę piasku w piaskownicach  zlecenie GKiOŚ.7021.17.2020  przez Łęcz-Bud, ponoszone były koszty dzierżawy terenu pod Skateparkiem na podstawie umowy zawartej z S.M. im. S. Batorego Nr Z/15/2018.</t>
  </si>
  <si>
    <t>W ramach realizacji zadania na podstawie umowy Nr GKiOŚ.37/2020 doposażono  siłownię terenową  w urządzenia - biegacz, twister, podciąg nóg, wyciąg górny i wyciąg dolny dostawa realizowana przez P.W. PRONAT.</t>
  </si>
  <si>
    <t>Zadanie w trakcie realizacji. Utrzymanie terenów zieleni zgodnie z zakresem umowy nr IRG.272.2.2020.</t>
  </si>
  <si>
    <t>Realizacja zadania w II półroczu 2020r, po wpływie środków z Fundacji ENEA.</t>
  </si>
  <si>
    <t>Wydatki w wysokości 20.000 zł finansowane ze środków Fundacji ENEA po wpływie środków z funacji ENEA.</t>
  </si>
  <si>
    <t>Zadanie zrealizowano. W I półroczu zgodnie z umową nr IRG.272.27.2018 zakończono i odebrano roboty budowlane wykonane w 2019 roku. Wykonano wszystkie konieczne próby i sprawdzenia, zakończono procedury administracyjne związane z dopuszczeniem obiektu do użytkowania.</t>
  </si>
  <si>
    <t xml:space="preserve">Plan pierwotny               </t>
  </si>
  <si>
    <t>Plan po zmianach na 30.06.2020 roku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</si>
</sst>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_-* #,##0.00&quot; zł&quot;_-;\-* #,##0.00&quot; zł&quot;_-;_-* \-??&quot; zł&quot;_-;_-@_-"/>
    <numFmt numFmtId="166" formatCode="#,###.00"/>
    <numFmt numFmtId="167" formatCode="#,##0.00\ _z_ł"/>
  </numFmts>
  <fonts count="98">
    <font>
      <sz val="10"/>
      <name val="Arial CE"/>
      <family val="2"/>
      <charset val="238"/>
    </font>
    <font>
      <sz val="12"/>
      <name val="Arial CE"/>
      <family val="2"/>
      <charset val="238"/>
    </font>
    <font>
      <sz val="12"/>
      <name val="Arial"/>
      <family val="2"/>
      <charset val="238"/>
    </font>
    <font>
      <sz val="14"/>
      <name val="Arial CE"/>
      <family val="2"/>
      <charset val="238"/>
    </font>
    <font>
      <sz val="12"/>
      <name val="Times New Roman"/>
      <family val="1"/>
      <charset val="238"/>
    </font>
    <font>
      <sz val="14"/>
      <name val="Times New Roman"/>
      <family val="1"/>
      <charset val="238"/>
    </font>
    <font>
      <b/>
      <sz val="20"/>
      <name val="Times New Roman"/>
      <family val="1"/>
      <charset val="238"/>
    </font>
    <font>
      <i/>
      <sz val="12"/>
      <name val="Times New Roman"/>
      <family val="1"/>
      <charset val="238"/>
    </font>
    <font>
      <sz val="11"/>
      <name val="Times New Roman CE"/>
      <family val="1"/>
      <charset val="238"/>
    </font>
    <font>
      <sz val="9"/>
      <name val="Times New Roman"/>
      <family val="1"/>
      <charset val="238"/>
    </font>
    <font>
      <b/>
      <sz val="12"/>
      <name val="Arial CE"/>
      <family val="2"/>
      <charset val="238"/>
    </font>
    <font>
      <b/>
      <sz val="12"/>
      <name val="Times New Roman"/>
      <family val="1"/>
      <charset val="238"/>
    </font>
    <font>
      <i/>
      <sz val="25"/>
      <name val="Times New Roman"/>
      <family val="1"/>
      <charset val="238"/>
    </font>
    <font>
      <sz val="25"/>
      <name val="Times New Roman"/>
      <family val="1"/>
      <charset val="238"/>
    </font>
    <font>
      <b/>
      <sz val="25"/>
      <name val="Times New Roman"/>
      <family val="1"/>
      <charset val="238"/>
    </font>
    <font>
      <b/>
      <sz val="18"/>
      <color indexed="9"/>
      <name val="Times New Roman"/>
      <family val="1"/>
      <charset val="238"/>
    </font>
    <font>
      <sz val="18"/>
      <color indexed="9"/>
      <name val="Times New Roman"/>
      <family val="1"/>
      <charset val="238"/>
    </font>
    <font>
      <sz val="14"/>
      <color indexed="9"/>
      <name val="Times New Roman"/>
      <family val="1"/>
      <charset val="238"/>
    </font>
    <font>
      <sz val="18"/>
      <name val="Times New Roman"/>
      <family val="1"/>
      <charset val="238"/>
    </font>
    <font>
      <b/>
      <sz val="18"/>
      <name val="Times New Roman"/>
      <family val="1"/>
      <charset val="238"/>
    </font>
    <font>
      <sz val="10"/>
      <name val="Arial CE"/>
      <family val="2"/>
      <charset val="238"/>
    </font>
    <font>
      <sz val="13"/>
      <name val="Times New Roman"/>
      <family val="1"/>
      <charset val="238"/>
    </font>
    <font>
      <b/>
      <sz val="13"/>
      <name val="Times New Roman"/>
      <family val="1"/>
      <charset val="238"/>
    </font>
    <font>
      <i/>
      <sz val="18"/>
      <name val="Times New Roman"/>
      <family val="1"/>
      <charset val="238"/>
    </font>
    <font>
      <i/>
      <sz val="14"/>
      <name val="Times New Roman"/>
      <family val="1"/>
      <charset val="238"/>
    </font>
    <font>
      <b/>
      <i/>
      <sz val="12"/>
      <name val="Times New Roman"/>
      <family val="1"/>
      <charset val="238"/>
    </font>
    <font>
      <b/>
      <i/>
      <sz val="18"/>
      <name val="Times New Roman"/>
      <family val="1"/>
      <charset val="238"/>
    </font>
    <font>
      <sz val="18"/>
      <name val="Times New Roman CE"/>
      <family val="1"/>
      <charset val="238"/>
    </font>
    <font>
      <b/>
      <sz val="18"/>
      <name val="Times New Roman CE"/>
      <charset val="238"/>
    </font>
    <font>
      <sz val="18"/>
      <name val="Times New Roman CE"/>
      <charset val="238"/>
    </font>
    <font>
      <i/>
      <sz val="18"/>
      <name val="Times New Roman CE"/>
      <charset val="238"/>
    </font>
    <font>
      <b/>
      <sz val="14"/>
      <name val="Times New Roman"/>
      <family val="1"/>
      <charset val="238"/>
    </font>
    <font>
      <i/>
      <sz val="13"/>
      <name val="Times New Roman"/>
      <family val="1"/>
      <charset val="238"/>
    </font>
    <font>
      <b/>
      <sz val="18"/>
      <color indexed="10"/>
      <name val="Times New Roman"/>
      <family val="1"/>
      <charset val="238"/>
    </font>
    <font>
      <b/>
      <u/>
      <sz val="18"/>
      <name val="Times New Roman"/>
      <family val="1"/>
      <charset val="238"/>
    </font>
    <font>
      <b/>
      <i/>
      <sz val="13"/>
      <name val="Times New Roman"/>
      <family val="1"/>
      <charset val="238"/>
    </font>
    <font>
      <strike/>
      <sz val="18"/>
      <name val="Times New Roman"/>
      <family val="1"/>
      <charset val="238"/>
    </font>
    <font>
      <i/>
      <sz val="16"/>
      <name val="Times New Roman"/>
      <family val="1"/>
      <charset val="238"/>
    </font>
    <font>
      <sz val="18"/>
      <color indexed="8"/>
      <name val="Times New Roman"/>
      <family val="1"/>
      <charset val="238"/>
    </font>
    <font>
      <b/>
      <sz val="18"/>
      <color indexed="8"/>
      <name val="Times New Roman"/>
      <family val="1"/>
      <charset val="238"/>
    </font>
    <font>
      <i/>
      <sz val="18"/>
      <color indexed="8"/>
      <name val="Times New Roman"/>
      <family val="1"/>
      <charset val="238"/>
    </font>
    <font>
      <b/>
      <sz val="16"/>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u/>
      <sz val="20"/>
      <name val="Times New Roman"/>
      <family val="1"/>
      <charset val="238"/>
    </font>
    <font>
      <b/>
      <i/>
      <sz val="18"/>
      <name val="Times New Roman CE"/>
      <charset val="238"/>
    </font>
    <font>
      <b/>
      <i/>
      <u/>
      <sz val="18"/>
      <name val="Times New Roman CE"/>
      <charset val="238"/>
    </font>
    <font>
      <sz val="30"/>
      <color rgb="FFFF0000"/>
      <name val="Times New Roman"/>
      <family val="1"/>
      <charset val="238"/>
    </font>
    <font>
      <i/>
      <sz val="30"/>
      <color rgb="FFFF0000"/>
      <name val="Times New Roman"/>
      <family val="1"/>
      <charset val="238"/>
    </font>
    <font>
      <b/>
      <sz val="30"/>
      <color rgb="FFFF0000"/>
      <name val="Times New Roman"/>
      <family val="1"/>
      <charset val="238"/>
    </font>
    <font>
      <b/>
      <i/>
      <sz val="30"/>
      <color rgb="FFFF0000"/>
      <name val="Times New Roman"/>
      <family val="1"/>
      <charset val="238"/>
    </font>
    <font>
      <b/>
      <i/>
      <sz val="18"/>
      <color rgb="FF00B050"/>
      <name val="Times New Roman"/>
      <family val="1"/>
      <charset val="238"/>
    </font>
    <font>
      <sz val="30"/>
      <color rgb="FF00B050"/>
      <name val="Times New Roman"/>
      <family val="1"/>
      <charset val="238"/>
    </font>
    <font>
      <i/>
      <sz val="30"/>
      <color rgb="FF00B050"/>
      <name val="Times New Roman"/>
      <family val="1"/>
      <charset val="238"/>
    </font>
    <font>
      <b/>
      <sz val="18"/>
      <color rgb="FF00B0F0"/>
      <name val="Times New Roman"/>
      <family val="1"/>
      <charset val="238"/>
    </font>
    <font>
      <b/>
      <sz val="18"/>
      <color rgb="FF00B0F0"/>
      <name val="Times New Roman CE"/>
      <charset val="238"/>
    </font>
    <font>
      <b/>
      <sz val="18"/>
      <color rgb="FF00B050"/>
      <name val="Times New Roman"/>
      <family val="1"/>
      <charset val="238"/>
    </font>
    <font>
      <b/>
      <sz val="18"/>
      <color rgb="FF7030A0"/>
      <name val="Times New Roman"/>
      <family val="1"/>
      <charset val="238"/>
    </font>
    <font>
      <i/>
      <sz val="18"/>
      <color rgb="FF7030A0"/>
      <name val="Times New Roman"/>
      <family val="1"/>
      <charset val="238"/>
    </font>
    <font>
      <b/>
      <i/>
      <sz val="18"/>
      <color rgb="FF7030A0"/>
      <name val="Times New Roman"/>
      <family val="1"/>
      <charset val="238"/>
    </font>
    <font>
      <b/>
      <i/>
      <sz val="18"/>
      <color rgb="FF00B0F0"/>
      <name val="Times New Roman"/>
      <family val="1"/>
      <charset val="238"/>
    </font>
    <font>
      <sz val="18"/>
      <color rgb="FFFF0000"/>
      <name val="Times New Roman"/>
      <family val="1"/>
      <charset val="238"/>
    </font>
    <font>
      <sz val="10"/>
      <name val="Arial CE"/>
      <charset val="238"/>
    </font>
    <font>
      <b/>
      <u/>
      <sz val="18"/>
      <name val="Times New Roman CE"/>
      <family val="1"/>
      <charset val="238"/>
    </font>
    <font>
      <b/>
      <sz val="18"/>
      <name val="Times New Roman CE"/>
      <family val="1"/>
      <charset val="238"/>
    </font>
    <font>
      <sz val="20"/>
      <color rgb="FFFF0000"/>
      <name val="Times New Roman"/>
      <family val="1"/>
      <charset val="238"/>
    </font>
    <font>
      <sz val="30"/>
      <name val="Times New Roman"/>
      <family val="1"/>
      <charset val="238"/>
    </font>
    <font>
      <i/>
      <sz val="16"/>
      <name val="Times New Roman CE"/>
      <family val="1"/>
      <charset val="238"/>
    </font>
    <font>
      <i/>
      <sz val="20"/>
      <color rgb="FFFF0000"/>
      <name val="Times New Roman"/>
      <family val="1"/>
      <charset val="238"/>
    </font>
    <font>
      <i/>
      <sz val="30"/>
      <name val="Times New Roman"/>
      <family val="1"/>
      <charset val="238"/>
    </font>
    <font>
      <sz val="16"/>
      <name val="Times New Roman CE"/>
      <charset val="238"/>
    </font>
    <font>
      <sz val="13"/>
      <color rgb="FFFF0000"/>
      <name val="Times New Roman"/>
      <family val="1"/>
      <charset val="238"/>
    </font>
    <font>
      <i/>
      <sz val="13"/>
      <color rgb="FFFF0000"/>
      <name val="Times New Roman"/>
      <family val="1"/>
      <charset val="238"/>
    </font>
    <font>
      <sz val="18"/>
      <name val="Arial CE"/>
      <family val="2"/>
      <charset val="238"/>
    </font>
    <font>
      <i/>
      <sz val="28"/>
      <color rgb="FFFF0000"/>
      <name val="Times New Roman"/>
      <family val="1"/>
      <charset val="238"/>
    </font>
    <font>
      <i/>
      <sz val="18"/>
      <color rgb="FFFF0000"/>
      <name val="Times New Roman"/>
      <family val="1"/>
      <charset val="238"/>
    </font>
    <font>
      <sz val="18"/>
      <color rgb="FFFF0000"/>
      <name val="Times New Roman CE"/>
      <family val="1"/>
      <charset val="238"/>
    </font>
    <font>
      <sz val="30"/>
      <name val="Times New Roman CE"/>
      <family val="1"/>
      <charset val="238"/>
    </font>
    <font>
      <i/>
      <sz val="18"/>
      <color rgb="FFFF0000"/>
      <name val="Times New Roman CE"/>
      <charset val="238"/>
    </font>
    <font>
      <i/>
      <sz val="30"/>
      <name val="Times New Roman CE"/>
      <charset val="238"/>
    </font>
    <font>
      <i/>
      <sz val="18"/>
      <name val="Times New Roman CE"/>
      <family val="1"/>
      <charset val="238"/>
    </font>
    <font>
      <sz val="30"/>
      <color rgb="FFC00000"/>
      <name val="Times New Roman"/>
      <family val="1"/>
      <charset val="238"/>
    </font>
    <font>
      <b/>
      <i/>
      <sz val="20"/>
      <color rgb="FFFF0000"/>
      <name val="Times New Roman"/>
      <family val="1"/>
      <charset val="238"/>
    </font>
  </fonts>
  <fills count="32">
    <fill>
      <patternFill patternType="none"/>
    </fill>
    <fill>
      <patternFill patternType="gray125"/>
    </fill>
    <fill>
      <patternFill patternType="solid">
        <fgColor indexed="22"/>
        <bgColor indexed="31"/>
      </patternFill>
    </fill>
    <fill>
      <patternFill patternType="solid">
        <fgColor rgb="FFFFFF00"/>
        <bgColor indexed="64"/>
      </patternFill>
    </fill>
    <fill>
      <patternFill patternType="solid">
        <fgColor indexed="63"/>
        <bgColor indexed="59"/>
      </patternFill>
    </fill>
    <fill>
      <patternFill patternType="solid">
        <fgColor indexed="27"/>
        <bgColor indexed="41"/>
      </patternFill>
    </fill>
    <fill>
      <patternFill patternType="solid">
        <fgColor indexed="9"/>
        <bgColor indexed="26"/>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6" tint="0.59999389629810485"/>
        <bgColor indexed="64"/>
      </patternFill>
    </fill>
    <fill>
      <patternFill patternType="solid">
        <fgColor theme="0"/>
        <bgColor indexed="64"/>
      </patternFill>
    </fill>
    <fill>
      <patternFill patternType="solid">
        <fgColor theme="9"/>
        <bgColor indexed="64"/>
      </patternFill>
    </fill>
    <fill>
      <patternFill patternType="solid">
        <fgColor theme="8" tint="0.59999389629810485"/>
        <bgColor indexed="64"/>
      </patternFill>
    </fill>
    <fill>
      <patternFill patternType="solid">
        <fgColor indexed="22"/>
        <bgColor indexed="64"/>
      </patternFill>
    </fill>
  </fills>
  <borders count="89">
    <border>
      <left/>
      <right/>
      <top/>
      <bottom/>
      <diagonal/>
    </border>
    <border>
      <left style="thin">
        <color indexed="8"/>
      </left>
      <right style="thin">
        <color indexed="8"/>
      </right>
      <top/>
      <bottom/>
      <diagonal/>
    </border>
    <border>
      <left style="thin">
        <color indexed="8"/>
      </left>
      <right/>
      <top/>
      <bottom/>
      <diagonal/>
    </border>
    <border>
      <left/>
      <right/>
      <top style="hair">
        <color indexed="8"/>
      </top>
      <bottom style="hair">
        <color indexed="8"/>
      </bottom>
      <diagonal/>
    </border>
    <border>
      <left/>
      <right/>
      <top style="thin">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dotted">
        <color indexed="8"/>
      </bottom>
      <diagonal/>
    </border>
    <border>
      <left style="thin">
        <color indexed="8"/>
      </left>
      <right/>
      <top style="thin">
        <color indexed="8"/>
      </top>
      <bottom style="thin">
        <color indexed="8"/>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bottom style="thin">
        <color indexed="8"/>
      </bottom>
      <diagonal/>
    </border>
    <border>
      <left style="thin">
        <color indexed="8"/>
      </left>
      <right style="thin">
        <color indexed="8"/>
      </right>
      <top style="dotted">
        <color indexed="8"/>
      </top>
      <bottom style="thin">
        <color indexed="8"/>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style="thin">
        <color indexed="8"/>
      </left>
      <right style="thin">
        <color indexed="8"/>
      </right>
      <top style="dotted">
        <color indexed="8"/>
      </top>
      <bottom/>
      <diagonal/>
    </border>
    <border>
      <left style="thin">
        <color indexed="8"/>
      </left>
      <right/>
      <top style="dotted">
        <color indexed="8"/>
      </top>
      <bottom/>
      <diagonal/>
    </border>
    <border>
      <left/>
      <right/>
      <top style="dotted">
        <color indexed="8"/>
      </top>
      <bottom/>
      <diagonal/>
    </border>
    <border>
      <left/>
      <right style="thin">
        <color indexed="8"/>
      </right>
      <top/>
      <bottom style="dotted">
        <color indexed="8"/>
      </bottom>
      <diagonal/>
    </border>
    <border>
      <left/>
      <right/>
      <top/>
      <bottom style="dotted">
        <color indexed="8"/>
      </bottom>
      <diagonal/>
    </border>
    <border>
      <left style="thin">
        <color indexed="8"/>
      </left>
      <right style="thin">
        <color indexed="8"/>
      </right>
      <top/>
      <bottom style="dotted">
        <color indexed="8"/>
      </bottom>
      <diagonal/>
    </border>
    <border>
      <left style="thin">
        <color indexed="8"/>
      </left>
      <right/>
      <top/>
      <bottom style="dotted">
        <color indexed="8"/>
      </bottom>
      <diagonal/>
    </border>
    <border>
      <left/>
      <right style="thin">
        <color indexed="8"/>
      </right>
      <top style="thin">
        <color indexed="64"/>
      </top>
      <bottom/>
      <diagonal/>
    </border>
    <border>
      <left style="thin">
        <color indexed="8"/>
      </left>
      <right style="thin">
        <color indexed="8"/>
      </right>
      <top style="hair">
        <color indexed="8"/>
      </top>
      <bottom/>
      <diagonal/>
    </border>
    <border>
      <left style="thin">
        <color indexed="8"/>
      </left>
      <right/>
      <top style="hair">
        <color indexed="8"/>
      </top>
      <bottom/>
      <diagonal/>
    </border>
    <border>
      <left/>
      <right/>
      <top style="hair">
        <color indexed="8"/>
      </top>
      <bottom/>
      <diagonal/>
    </border>
    <border>
      <left/>
      <right style="thin">
        <color indexed="8"/>
      </right>
      <top style="dotted">
        <color indexed="8"/>
      </top>
      <bottom/>
      <diagonal/>
    </border>
    <border>
      <left style="thin">
        <color indexed="64"/>
      </left>
      <right style="thin">
        <color indexed="64"/>
      </right>
      <top/>
      <bottom/>
      <diagonal/>
    </border>
    <border>
      <left/>
      <right style="thin">
        <color indexed="8"/>
      </right>
      <top/>
      <bottom/>
      <diagonal/>
    </border>
    <border>
      <left style="thin">
        <color indexed="8"/>
      </left>
      <right style="thin">
        <color indexed="8"/>
      </right>
      <top/>
      <bottom style="hair">
        <color indexed="8"/>
      </bottom>
      <diagonal/>
    </border>
    <border>
      <left/>
      <right style="thin">
        <color indexed="8"/>
      </right>
      <top style="dotted">
        <color indexed="8"/>
      </top>
      <bottom style="dotted">
        <color indexed="8"/>
      </bottom>
      <diagonal/>
    </border>
    <border>
      <left style="thin">
        <color indexed="8"/>
      </left>
      <right/>
      <top/>
      <bottom style="hair">
        <color indexed="8"/>
      </bottom>
      <diagonal/>
    </border>
    <border>
      <left/>
      <right/>
      <top/>
      <bottom style="hair">
        <color indexed="8"/>
      </bottom>
      <diagonal/>
    </border>
    <border>
      <left style="thin">
        <color indexed="8"/>
      </left>
      <right/>
      <top/>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hair">
        <color indexed="8"/>
      </top>
      <bottom style="dotted">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8"/>
      </left>
      <right/>
      <top style="double">
        <color indexed="8"/>
      </top>
      <bottom style="double">
        <color indexed="8"/>
      </bottom>
      <diagonal/>
    </border>
    <border>
      <left style="thin">
        <color indexed="8"/>
      </left>
      <right/>
      <top style="dotted">
        <color indexed="8"/>
      </top>
      <bottom/>
      <diagonal/>
    </border>
    <border>
      <left/>
      <right/>
      <top style="dotted">
        <color indexed="8"/>
      </top>
      <bottom/>
      <diagonal/>
    </border>
    <border>
      <left style="thin">
        <color indexed="8"/>
      </left>
      <right style="thin">
        <color indexed="8"/>
      </right>
      <top style="dotted">
        <color indexed="8"/>
      </top>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style="dotted">
        <color indexed="64"/>
      </top>
      <bottom/>
      <diagonal/>
    </border>
    <border>
      <left style="thin">
        <color indexed="8"/>
      </left>
      <right style="thin">
        <color indexed="8"/>
      </right>
      <top style="double">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8"/>
      </right>
      <top/>
      <bottom/>
      <diagonal/>
    </border>
    <border>
      <left/>
      <right style="thin">
        <color indexed="8"/>
      </right>
      <top style="thin">
        <color indexed="8"/>
      </top>
      <bottom/>
      <diagonal/>
    </border>
    <border>
      <left/>
      <right style="thin">
        <color indexed="64"/>
      </right>
      <top/>
      <bottom/>
      <diagonal/>
    </border>
    <border>
      <left/>
      <right style="thin">
        <color indexed="64"/>
      </right>
      <top/>
      <bottom style="dotted">
        <color indexed="8"/>
      </bottom>
      <diagonal/>
    </border>
    <border>
      <left style="thin">
        <color indexed="64"/>
      </left>
      <right style="thin">
        <color indexed="64"/>
      </right>
      <top/>
      <bottom style="dotted">
        <color indexed="8"/>
      </bottom>
      <diagonal/>
    </border>
    <border>
      <left/>
      <right style="thin">
        <color auto="1"/>
      </right>
      <top/>
      <bottom/>
      <diagonal/>
    </border>
    <border>
      <left/>
      <right style="thin">
        <color indexed="8"/>
      </right>
      <top/>
      <bottom/>
      <diagonal/>
    </border>
    <border>
      <left/>
      <right style="thin">
        <color indexed="64"/>
      </right>
      <top/>
      <bottom/>
      <diagonal/>
    </border>
    <border>
      <left style="thin">
        <color auto="1"/>
      </left>
      <right style="thin">
        <color auto="1"/>
      </right>
      <top style="thin">
        <color indexed="8"/>
      </top>
      <bottom style="thin">
        <color indexed="8"/>
      </bottom>
      <diagonal/>
    </border>
    <border>
      <left/>
      <right style="thin">
        <color auto="1"/>
      </right>
      <top/>
      <bottom/>
      <diagonal/>
    </border>
    <border>
      <left style="thin">
        <color auto="1"/>
      </left>
      <right style="thin">
        <color indexed="8"/>
      </right>
      <top/>
      <bottom/>
      <diagonal/>
    </border>
    <border>
      <left/>
      <right style="thin">
        <color auto="1"/>
      </right>
      <top/>
      <bottom/>
      <diagonal/>
    </border>
    <border>
      <left/>
      <right style="thin">
        <color auto="1"/>
      </right>
      <top/>
      <bottom/>
      <diagonal/>
    </border>
    <border>
      <left/>
      <right style="thin">
        <color auto="1"/>
      </right>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top/>
      <bottom/>
      <diagonal/>
    </border>
    <border>
      <left style="thin">
        <color indexed="8"/>
      </left>
      <right/>
      <top/>
      <bottom style="double">
        <color indexed="8"/>
      </bottom>
      <diagonal/>
    </border>
  </borders>
  <cellStyleXfs count="53">
    <xf numFmtId="0" fontId="0" fillId="0" borderId="0"/>
    <xf numFmtId="165" fontId="20" fillId="0" borderId="0" applyFill="0" applyBorder="0" applyAlignment="0" applyProtection="0"/>
    <xf numFmtId="0" fontId="1" fillId="0" borderId="0"/>
    <xf numFmtId="0" fontId="8" fillId="0" borderId="3">
      <alignment vertical="center" wrapText="1"/>
    </xf>
    <xf numFmtId="0" fontId="10" fillId="2" borderId="4">
      <alignment vertical="center" wrapText="1"/>
    </xf>
    <xf numFmtId="0" fontId="1" fillId="0" borderId="0"/>
    <xf numFmtId="0" fontId="10" fillId="2" borderId="4">
      <alignment vertical="center" wrapText="1"/>
    </xf>
    <xf numFmtId="0" fontId="1" fillId="0" borderId="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5"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0"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3" fillId="16"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23" borderId="0" applyNumberFormat="0" applyBorder="0" applyAlignment="0" applyProtection="0"/>
    <xf numFmtId="0" fontId="44" fillId="11" borderId="44" applyNumberFormat="0" applyAlignment="0" applyProtection="0"/>
    <xf numFmtId="0" fontId="45" fillId="2" borderId="45" applyNumberFormat="0" applyAlignment="0" applyProtection="0"/>
    <xf numFmtId="0" fontId="46" fillId="9" borderId="0" applyNumberFormat="0" applyBorder="0" applyAlignment="0" applyProtection="0"/>
    <xf numFmtId="0" fontId="47" fillId="0" borderId="46" applyNumberFormat="0" applyFill="0" applyAlignment="0" applyProtection="0"/>
    <xf numFmtId="0" fontId="48" fillId="24" borderId="47" applyNumberFormat="0" applyAlignment="0" applyProtection="0"/>
    <xf numFmtId="0" fontId="49" fillId="0" borderId="48" applyNumberFormat="0" applyFill="0" applyAlignment="0" applyProtection="0"/>
    <xf numFmtId="0" fontId="50" fillId="0" borderId="49" applyNumberFormat="0" applyFill="0" applyAlignment="0" applyProtection="0"/>
    <xf numFmtId="0" fontId="51" fillId="0" borderId="50" applyNumberFormat="0" applyFill="0" applyAlignment="0" applyProtection="0"/>
    <xf numFmtId="0" fontId="51" fillId="0" borderId="0" applyNumberFormat="0" applyFill="0" applyBorder="0" applyAlignment="0" applyProtection="0"/>
    <xf numFmtId="0" fontId="52" fillId="25" borderId="0" applyNumberFormat="0" applyBorder="0" applyAlignment="0" applyProtection="0"/>
    <xf numFmtId="0" fontId="53" fillId="2" borderId="44" applyNumberFormat="0" applyAlignment="0" applyProtection="0"/>
    <xf numFmtId="0" fontId="54" fillId="0" borderId="51"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20" fillId="26" borderId="52" applyNumberFormat="0" applyAlignment="0" applyProtection="0"/>
    <xf numFmtId="0" fontId="58" fillId="8" borderId="0" applyNumberFormat="0" applyBorder="0" applyAlignment="0" applyProtection="0"/>
    <xf numFmtId="164" fontId="77" fillId="0" borderId="0" applyFont="0" applyFill="0" applyBorder="0" applyAlignment="0" applyProtection="0"/>
    <xf numFmtId="0" fontId="8" fillId="0" borderId="62">
      <alignment vertical="center" wrapText="1"/>
    </xf>
    <xf numFmtId="0" fontId="10" fillId="31" borderId="4">
      <alignment vertical="center" wrapText="1"/>
    </xf>
    <xf numFmtId="164" fontId="20" fillId="0" borderId="0" applyFont="0" applyFill="0" applyBorder="0" applyAlignment="0" applyProtection="0"/>
  </cellStyleXfs>
  <cellXfs count="1363">
    <xf numFmtId="0" fontId="0" fillId="0" borderId="0" xfId="0"/>
    <xf numFmtId="0" fontId="1" fillId="0" borderId="0" xfId="2"/>
    <xf numFmtId="4" fontId="1" fillId="0" borderId="1" xfId="2" applyNumberFormat="1" applyFont="1" applyBorder="1" applyAlignment="1" applyProtection="1">
      <alignment horizontal="right" vertical="center"/>
    </xf>
    <xf numFmtId="4" fontId="2" fillId="0" borderId="1" xfId="2" applyNumberFormat="1" applyFont="1" applyBorder="1" applyAlignment="1" applyProtection="1">
      <alignment horizontal="right" wrapText="1"/>
    </xf>
    <xf numFmtId="4" fontId="2" fillId="0" borderId="2" xfId="2" applyNumberFormat="1" applyFont="1" applyBorder="1" applyAlignment="1" applyProtection="1">
      <alignment horizontal="right" wrapText="1"/>
    </xf>
    <xf numFmtId="0" fontId="2" fillId="0" borderId="0" xfId="2" applyFont="1" applyBorder="1" applyAlignment="1" applyProtection="1">
      <alignment horizontal="left" wrapText="1"/>
    </xf>
    <xf numFmtId="0" fontId="1" fillId="0" borderId="0" xfId="2" applyFont="1" applyBorder="1" applyAlignment="1" applyProtection="1">
      <alignment horizontal="center" vertical="center"/>
    </xf>
    <xf numFmtId="1" fontId="3" fillId="0" borderId="2" xfId="2" applyNumberFormat="1" applyFont="1" applyBorder="1" applyAlignment="1" applyProtection="1">
      <alignment horizontal="center" vertical="center"/>
    </xf>
    <xf numFmtId="1" fontId="1" fillId="0" borderId="2" xfId="2" applyNumberFormat="1" applyFont="1" applyBorder="1" applyAlignment="1" applyProtection="1">
      <alignment horizontal="center" vertical="center"/>
    </xf>
    <xf numFmtId="4" fontId="2" fillId="0" borderId="0" xfId="2" applyNumberFormat="1" applyFont="1" applyBorder="1" applyAlignment="1" applyProtection="1">
      <alignment horizontal="right" wrapText="1"/>
    </xf>
    <xf numFmtId="0" fontId="4" fillId="0" borderId="0" xfId="2" applyFont="1"/>
    <xf numFmtId="4" fontId="4" fillId="0" borderId="1" xfId="2" applyNumberFormat="1" applyFont="1" applyBorder="1" applyAlignment="1" applyProtection="1">
      <alignment horizontal="right" vertical="center"/>
    </xf>
    <xf numFmtId="4" fontId="4" fillId="0" borderId="1" xfId="2" applyNumberFormat="1" applyFont="1" applyBorder="1" applyAlignment="1" applyProtection="1">
      <alignment horizontal="right" wrapText="1"/>
    </xf>
    <xf numFmtId="4" fontId="4" fillId="0" borderId="0" xfId="2" applyNumberFormat="1" applyFont="1" applyBorder="1" applyAlignment="1" applyProtection="1">
      <alignment horizontal="right" wrapText="1"/>
    </xf>
    <xf numFmtId="0" fontId="4" fillId="0" borderId="0" xfId="2" applyFont="1" applyBorder="1" applyAlignment="1" applyProtection="1">
      <alignment horizontal="center" vertical="center"/>
    </xf>
    <xf numFmtId="1" fontId="5" fillId="0" borderId="2" xfId="2" applyNumberFormat="1" applyFont="1" applyBorder="1" applyAlignment="1" applyProtection="1">
      <alignment horizontal="center" vertical="center"/>
    </xf>
    <xf numFmtId="1" fontId="4" fillId="0" borderId="2" xfId="2" applyNumberFormat="1" applyFont="1" applyBorder="1" applyAlignment="1" applyProtection="1">
      <alignment horizontal="center" vertical="center"/>
    </xf>
    <xf numFmtId="0" fontId="4" fillId="0" borderId="0" xfId="2" applyFont="1" applyBorder="1" applyAlignment="1" applyProtection="1">
      <alignment horizontal="left" wrapText="1"/>
    </xf>
    <xf numFmtId="4" fontId="4" fillId="0" borderId="0" xfId="2" applyNumberFormat="1" applyFont="1"/>
    <xf numFmtId="4" fontId="4" fillId="0" borderId="0" xfId="2" applyNumberFormat="1" applyFont="1" applyBorder="1" applyAlignment="1" applyProtection="1">
      <alignment horizontal="left" wrapText="1"/>
    </xf>
    <xf numFmtId="4" fontId="4" fillId="0" borderId="0" xfId="2" applyNumberFormat="1" applyFont="1" applyBorder="1" applyAlignment="1" applyProtection="1">
      <alignment horizontal="center" vertical="center"/>
    </xf>
    <xf numFmtId="4" fontId="4" fillId="0" borderId="0" xfId="2" applyNumberFormat="1" applyFont="1" applyBorder="1"/>
    <xf numFmtId="4" fontId="4" fillId="0" borderId="0" xfId="2" applyNumberFormat="1" applyFont="1" applyBorder="1" applyAlignment="1" applyProtection="1">
      <alignment horizontal="right" vertical="center"/>
    </xf>
    <xf numFmtId="1" fontId="5" fillId="0" borderId="0" xfId="2" applyNumberFormat="1" applyFont="1" applyBorder="1" applyAlignment="1" applyProtection="1">
      <alignment horizontal="center" vertical="center"/>
    </xf>
    <xf numFmtId="1" fontId="4" fillId="0" borderId="0" xfId="2" applyNumberFormat="1" applyFont="1" applyBorder="1" applyAlignment="1" applyProtection="1">
      <alignment horizontal="center" vertical="center"/>
    </xf>
    <xf numFmtId="4" fontId="6" fillId="0" borderId="0" xfId="2" applyNumberFormat="1" applyFont="1" applyBorder="1" applyAlignment="1" applyProtection="1">
      <alignment horizontal="center" vertical="center" wrapText="1"/>
    </xf>
    <xf numFmtId="1" fontId="6" fillId="0" borderId="0" xfId="2" applyNumberFormat="1" applyFont="1" applyBorder="1" applyAlignment="1" applyProtection="1">
      <alignment horizontal="center" vertical="center"/>
    </xf>
    <xf numFmtId="4" fontId="7" fillId="0" borderId="0" xfId="2" applyNumberFormat="1" applyFont="1" applyBorder="1" applyAlignment="1">
      <alignment vertical="center"/>
    </xf>
    <xf numFmtId="4" fontId="4" fillId="0" borderId="0" xfId="3" applyNumberFormat="1" applyFont="1" applyBorder="1" applyAlignment="1">
      <alignment horizontal="right" vertical="center" wrapText="1"/>
    </xf>
    <xf numFmtId="4" fontId="9" fillId="0" borderId="0" xfId="3" applyNumberFormat="1" applyFont="1" applyBorder="1" applyAlignment="1">
      <alignment horizontal="center" vertical="center" wrapText="1"/>
    </xf>
    <xf numFmtId="1" fontId="5" fillId="0" borderId="0" xfId="3" applyNumberFormat="1" applyFont="1" applyBorder="1" applyAlignment="1">
      <alignment horizontal="center" vertical="center" wrapText="1"/>
    </xf>
    <xf numFmtId="4" fontId="4" fillId="0" borderId="0" xfId="3" applyNumberFormat="1" applyFont="1" applyBorder="1" applyAlignment="1">
      <alignment horizontal="left" vertical="center" wrapText="1"/>
    </xf>
    <xf numFmtId="1" fontId="4" fillId="0" borderId="0" xfId="5" applyNumberFormat="1" applyFont="1" applyBorder="1" applyAlignment="1" applyProtection="1">
      <alignment horizontal="center" vertical="center" wrapText="1"/>
    </xf>
    <xf numFmtId="4" fontId="12" fillId="0" borderId="0" xfId="2" applyNumberFormat="1" applyFont="1" applyBorder="1" applyAlignment="1">
      <alignment vertical="center"/>
    </xf>
    <xf numFmtId="4" fontId="13" fillId="0" borderId="0" xfId="3" applyNumberFormat="1" applyFont="1" applyBorder="1" applyAlignment="1">
      <alignment horizontal="right" vertical="center" wrapText="1"/>
    </xf>
    <xf numFmtId="4" fontId="13" fillId="0" borderId="0" xfId="3" applyNumberFormat="1" applyFont="1" applyBorder="1" applyAlignment="1">
      <alignment horizontal="center" vertical="center" wrapText="1"/>
    </xf>
    <xf numFmtId="1" fontId="13" fillId="0" borderId="0" xfId="3" applyNumberFormat="1" applyFont="1" applyBorder="1" applyAlignment="1">
      <alignment horizontal="center" vertical="center" wrapText="1"/>
    </xf>
    <xf numFmtId="1" fontId="13" fillId="3" borderId="0" xfId="5" applyNumberFormat="1" applyFont="1" applyFill="1" applyBorder="1" applyAlignment="1" applyProtection="1">
      <alignment horizontal="center" vertical="center" wrapText="1"/>
    </xf>
    <xf numFmtId="4" fontId="4" fillId="0" borderId="0" xfId="5" applyNumberFormat="1" applyFont="1" applyFill="1" applyBorder="1" applyAlignment="1">
      <alignment vertical="center"/>
    </xf>
    <xf numFmtId="4" fontId="15" fillId="4" borderId="6" xfId="5" applyNumberFormat="1" applyFont="1" applyFill="1" applyBorder="1" applyAlignment="1" applyProtection="1">
      <alignment horizontal="center" vertical="center"/>
    </xf>
    <xf numFmtId="4" fontId="16" fillId="4" borderId="6" xfId="5" applyNumberFormat="1" applyFont="1" applyFill="1" applyBorder="1" applyAlignment="1" applyProtection="1">
      <alignment horizontal="center" vertical="center"/>
    </xf>
    <xf numFmtId="1" fontId="17" fillId="4" borderId="6" xfId="5" applyNumberFormat="1" applyFont="1" applyFill="1" applyBorder="1" applyAlignment="1" applyProtection="1">
      <alignment horizontal="center" vertical="center"/>
    </xf>
    <xf numFmtId="1" fontId="18" fillId="0" borderId="7" xfId="5" applyNumberFormat="1" applyFont="1" applyBorder="1" applyAlignment="1" applyProtection="1">
      <alignment horizontal="center" vertical="center" wrapText="1"/>
    </xf>
    <xf numFmtId="4" fontId="18" fillId="0" borderId="8" xfId="5" applyNumberFormat="1" applyFont="1" applyBorder="1" applyAlignment="1" applyProtection="1">
      <alignment horizontal="center" vertical="center"/>
    </xf>
    <xf numFmtId="4" fontId="4" fillId="0" borderId="0" xfId="5" applyNumberFormat="1" applyFont="1" applyFill="1" applyAlignment="1">
      <alignment vertical="center"/>
    </xf>
    <xf numFmtId="4" fontId="18" fillId="0" borderId="9" xfId="5" applyNumberFormat="1" applyFont="1" applyFill="1" applyBorder="1" applyAlignment="1" applyProtection="1">
      <alignment horizontal="right" vertical="center"/>
    </xf>
    <xf numFmtId="4" fontId="19" fillId="0" borderId="9" xfId="5" applyNumberFormat="1" applyFont="1" applyFill="1" applyBorder="1" applyAlignment="1" applyProtection="1">
      <alignment horizontal="right" vertical="center"/>
    </xf>
    <xf numFmtId="4" fontId="18" fillId="0" borderId="9" xfId="5" applyNumberFormat="1" applyFont="1" applyFill="1" applyBorder="1" applyAlignment="1" applyProtection="1">
      <alignment horizontal="right" vertical="center" wrapText="1"/>
    </xf>
    <xf numFmtId="4" fontId="18" fillId="0" borderId="11" xfId="5" applyNumberFormat="1" applyFont="1" applyFill="1" applyBorder="1" applyAlignment="1" applyProtection="1">
      <alignment horizontal="left" vertical="center" wrapText="1"/>
    </xf>
    <xf numFmtId="4" fontId="18" fillId="0" borderId="11" xfId="5" applyNumberFormat="1" applyFont="1" applyFill="1" applyBorder="1" applyAlignment="1" applyProtection="1">
      <alignment horizontal="center" vertical="center"/>
    </xf>
    <xf numFmtId="1" fontId="5" fillId="0" borderId="11" xfId="5" applyNumberFormat="1" applyFont="1" applyFill="1" applyBorder="1" applyAlignment="1" applyProtection="1">
      <alignment horizontal="center" vertical="center"/>
    </xf>
    <xf numFmtId="4" fontId="4" fillId="0" borderId="0" xfId="5" applyNumberFormat="1" applyFont="1" applyAlignment="1">
      <alignment vertical="center"/>
    </xf>
    <xf numFmtId="4" fontId="19" fillId="2" borderId="12" xfId="5" applyNumberFormat="1" applyFont="1" applyFill="1" applyBorder="1" applyAlignment="1" applyProtection="1">
      <alignment horizontal="center" vertical="center"/>
    </xf>
    <xf numFmtId="4" fontId="18" fillId="2" borderId="12" xfId="5" applyNumberFormat="1" applyFont="1" applyFill="1" applyBorder="1" applyAlignment="1" applyProtection="1">
      <alignment horizontal="center" vertical="center"/>
    </xf>
    <xf numFmtId="1" fontId="5" fillId="2" borderId="12" xfId="5" applyNumberFormat="1" applyFont="1" applyFill="1" applyBorder="1" applyAlignment="1" applyProtection="1">
      <alignment horizontal="center" vertical="center"/>
    </xf>
    <xf numFmtId="1" fontId="19" fillId="2" borderId="13" xfId="5" applyNumberFormat="1" applyFont="1" applyFill="1" applyBorder="1" applyAlignment="1" applyProtection="1">
      <alignment horizontal="center" vertical="center" wrapText="1"/>
    </xf>
    <xf numFmtId="0" fontId="4" fillId="0" borderId="0" xfId="0" applyFont="1" applyFill="1" applyAlignment="1">
      <alignment vertical="center"/>
    </xf>
    <xf numFmtId="0" fontId="4" fillId="0" borderId="9" xfId="6" applyFont="1" applyFill="1" applyBorder="1" applyAlignment="1">
      <alignment vertical="center" wrapText="1"/>
    </xf>
    <xf numFmtId="0" fontId="4" fillId="0" borderId="11" xfId="6" applyFont="1" applyFill="1" applyBorder="1" applyAlignment="1">
      <alignment horizontal="left" vertical="center" wrapText="1"/>
    </xf>
    <xf numFmtId="0" fontId="4" fillId="0" borderId="11" xfId="6" applyFont="1" applyFill="1" applyBorder="1" applyAlignment="1">
      <alignment horizontal="center" vertical="center" wrapText="1"/>
    </xf>
    <xf numFmtId="0" fontId="4" fillId="0" borderId="9" xfId="6" applyFont="1" applyFill="1" applyBorder="1" applyAlignment="1">
      <alignment horizontal="center" vertical="center" wrapText="1"/>
    </xf>
    <xf numFmtId="0" fontId="4" fillId="0" borderId="1" xfId="2" applyFont="1" applyFill="1" applyBorder="1" applyAlignment="1" applyProtection="1">
      <alignment horizontal="center" vertical="center"/>
    </xf>
    <xf numFmtId="3" fontId="4" fillId="0" borderId="9" xfId="6" applyNumberFormat="1" applyFont="1" applyFill="1" applyBorder="1" applyAlignment="1">
      <alignment horizontal="right" vertical="center" wrapText="1"/>
    </xf>
    <xf numFmtId="1" fontId="5" fillId="0" borderId="0" xfId="6" applyNumberFormat="1" applyFont="1" applyFill="1" applyBorder="1" applyAlignment="1">
      <alignment horizontal="center" vertical="center" wrapText="1"/>
    </xf>
    <xf numFmtId="1" fontId="18" fillId="0" borderId="1" xfId="6" applyNumberFormat="1" applyFont="1" applyFill="1" applyBorder="1" applyAlignment="1">
      <alignment horizontal="center" vertical="center" wrapText="1"/>
    </xf>
    <xf numFmtId="1" fontId="18" fillId="0" borderId="9" xfId="6" applyNumberFormat="1" applyFont="1" applyFill="1" applyBorder="1" applyAlignment="1">
      <alignment horizontal="center" vertical="center" wrapText="1"/>
    </xf>
    <xf numFmtId="0" fontId="21" fillId="0" borderId="0" xfId="0" applyFont="1" applyAlignment="1">
      <alignment vertical="center"/>
    </xf>
    <xf numFmtId="0" fontId="21" fillId="0" borderId="0" xfId="2" applyFont="1" applyAlignment="1">
      <alignment vertical="center"/>
    </xf>
    <xf numFmtId="0" fontId="22" fillId="5" borderId="13" xfId="6" applyFont="1" applyFill="1" applyBorder="1" applyAlignment="1">
      <alignment vertical="center" wrapText="1"/>
    </xf>
    <xf numFmtId="0" fontId="22" fillId="5" borderId="4" xfId="6" applyFont="1" applyFill="1" applyAlignment="1">
      <alignment horizontal="left" vertical="center" wrapText="1"/>
    </xf>
    <xf numFmtId="0" fontId="22" fillId="5" borderId="4" xfId="6" applyFont="1" applyFill="1" applyAlignment="1">
      <alignment horizontal="center" vertical="center" wrapText="1"/>
    </xf>
    <xf numFmtId="0" fontId="22" fillId="5" borderId="4" xfId="6" applyFont="1" applyFill="1" applyBorder="1" applyAlignment="1">
      <alignment horizontal="center" vertical="center" wrapText="1"/>
    </xf>
    <xf numFmtId="0" fontId="22" fillId="5" borderId="13" xfId="6" applyFont="1" applyFill="1" applyBorder="1" applyAlignment="1">
      <alignment horizontal="center" vertical="center" wrapText="1"/>
    </xf>
    <xf numFmtId="0" fontId="21" fillId="0" borderId="1" xfId="2" applyFont="1" applyBorder="1" applyAlignment="1" applyProtection="1">
      <alignment horizontal="center" vertical="center"/>
    </xf>
    <xf numFmtId="3" fontId="22" fillId="5" borderId="13" xfId="6" applyNumberFormat="1" applyFont="1" applyFill="1" applyBorder="1" applyAlignment="1">
      <alignment horizontal="right" vertical="center" wrapText="1"/>
    </xf>
    <xf numFmtId="0" fontId="19" fillId="5" borderId="4" xfId="6" applyFont="1" applyFill="1" applyBorder="1" applyAlignment="1">
      <alignment horizontal="left" vertical="center" wrapText="1"/>
    </xf>
    <xf numFmtId="0" fontId="18" fillId="5" borderId="4" xfId="6" applyFont="1" applyFill="1" applyBorder="1" applyAlignment="1">
      <alignment horizontal="center" vertical="center" wrapText="1"/>
    </xf>
    <xf numFmtId="1" fontId="5" fillId="5" borderId="4" xfId="6" applyNumberFormat="1" applyFont="1" applyFill="1" applyBorder="1" applyAlignment="1">
      <alignment horizontal="center" vertical="center" wrapText="1"/>
    </xf>
    <xf numFmtId="1" fontId="19" fillId="5" borderId="13" xfId="6" applyNumberFormat="1" applyFont="1" applyFill="1" applyBorder="1" applyAlignment="1">
      <alignment horizontal="center" vertical="center" wrapText="1"/>
    </xf>
    <xf numFmtId="0" fontId="4" fillId="0" borderId="0" xfId="2" applyFont="1" applyAlignment="1">
      <alignment vertical="center"/>
    </xf>
    <xf numFmtId="4" fontId="19" fillId="2" borderId="13" xfId="4" applyNumberFormat="1" applyFont="1" applyBorder="1" applyAlignment="1">
      <alignment horizontal="right" vertical="center" wrapText="1"/>
    </xf>
    <xf numFmtId="4" fontId="19" fillId="2" borderId="15" xfId="4" applyNumberFormat="1" applyFont="1" applyBorder="1" applyAlignment="1">
      <alignment horizontal="right" vertical="center" wrapText="1"/>
    </xf>
    <xf numFmtId="0" fontId="19" fillId="2" borderId="4" xfId="4" applyFont="1" applyBorder="1" applyAlignment="1">
      <alignment horizontal="center" vertical="center" wrapText="1"/>
    </xf>
    <xf numFmtId="0" fontId="18" fillId="2" borderId="4" xfId="4" applyFont="1" applyBorder="1" applyAlignment="1">
      <alignment horizontal="center" vertical="center" wrapText="1"/>
    </xf>
    <xf numFmtId="1" fontId="5" fillId="2" borderId="4" xfId="4" applyNumberFormat="1" applyFont="1" applyBorder="1" applyAlignment="1">
      <alignment horizontal="center" vertical="center" wrapText="1"/>
    </xf>
    <xf numFmtId="1" fontId="19" fillId="2" borderId="13" xfId="4" applyNumberFormat="1" applyFont="1" applyBorder="1" applyAlignment="1">
      <alignment horizontal="center" vertical="center" wrapText="1"/>
    </xf>
    <xf numFmtId="0" fontId="19" fillId="2" borderId="15" xfId="4" applyFont="1" applyBorder="1" applyAlignment="1">
      <alignment horizontal="center" vertical="center" wrapText="1"/>
    </xf>
    <xf numFmtId="4" fontId="18" fillId="0" borderId="16" xfId="3" applyNumberFormat="1" applyFont="1" applyBorder="1" applyAlignment="1">
      <alignment horizontal="right" vertical="center" wrapText="1"/>
    </xf>
    <xf numFmtId="0" fontId="18" fillId="0" borderId="18" xfId="3" applyFont="1" applyBorder="1" applyAlignment="1">
      <alignment horizontal="left" vertical="center" wrapText="1"/>
    </xf>
    <xf numFmtId="0" fontId="18" fillId="0" borderId="18" xfId="3" applyFont="1" applyBorder="1" applyAlignment="1">
      <alignment horizontal="center" vertical="center" wrapText="1"/>
    </xf>
    <xf numFmtId="1" fontId="5" fillId="0" borderId="17" xfId="2" applyNumberFormat="1" applyFont="1" applyBorder="1" applyAlignment="1" applyProtection="1">
      <alignment horizontal="center" vertical="center"/>
    </xf>
    <xf numFmtId="1" fontId="18" fillId="0" borderId="1" xfId="2" applyNumberFormat="1" applyFont="1" applyBorder="1" applyAlignment="1" applyProtection="1">
      <alignment horizontal="left" vertical="center"/>
    </xf>
    <xf numFmtId="4" fontId="18" fillId="0" borderId="1" xfId="3" applyNumberFormat="1" applyFont="1" applyBorder="1" applyAlignment="1">
      <alignment horizontal="right" vertical="center" wrapText="1"/>
    </xf>
    <xf numFmtId="0" fontId="18" fillId="0" borderId="0" xfId="3" applyFont="1" applyBorder="1" applyAlignment="1">
      <alignment horizontal="left" vertical="center" wrapText="1"/>
    </xf>
    <xf numFmtId="0" fontId="18" fillId="0" borderId="0" xfId="3" applyFont="1" applyBorder="1" applyAlignment="1">
      <alignment horizontal="center" vertical="center" wrapText="1"/>
    </xf>
    <xf numFmtId="4" fontId="19" fillId="5" borderId="13" xfId="6" applyNumberFormat="1" applyFont="1" applyFill="1" applyBorder="1" applyAlignment="1">
      <alignment horizontal="right" vertical="center" wrapText="1"/>
    </xf>
    <xf numFmtId="0" fontId="18" fillId="0" borderId="0" xfId="6" applyFont="1" applyFill="1" applyBorder="1" applyAlignment="1">
      <alignment horizontal="center" vertical="center" wrapText="1"/>
    </xf>
    <xf numFmtId="0" fontId="4" fillId="0" borderId="0" xfId="2" applyFont="1" applyBorder="1" applyAlignment="1">
      <alignment vertical="center"/>
    </xf>
    <xf numFmtId="4" fontId="18" fillId="0" borderId="9" xfId="6" applyNumberFormat="1" applyFont="1" applyFill="1" applyBorder="1" applyAlignment="1">
      <alignment horizontal="right" vertical="center" wrapText="1"/>
    </xf>
    <xf numFmtId="0" fontId="19" fillId="0" borderId="11" xfId="6" applyFont="1" applyFill="1" applyBorder="1" applyAlignment="1">
      <alignment horizontal="left" vertical="center" wrapText="1"/>
    </xf>
    <xf numFmtId="0" fontId="18" fillId="0" borderId="11" xfId="6" applyFont="1" applyFill="1" applyBorder="1" applyAlignment="1">
      <alignment horizontal="center" vertical="center" wrapText="1"/>
    </xf>
    <xf numFmtId="1" fontId="5" fillId="0" borderId="10" xfId="6" applyNumberFormat="1" applyFont="1" applyFill="1" applyBorder="1" applyAlignment="1">
      <alignment horizontal="center" vertical="center" wrapText="1"/>
    </xf>
    <xf numFmtId="1" fontId="5" fillId="5" borderId="15" xfId="6" applyNumberFormat="1" applyFont="1" applyFill="1" applyBorder="1" applyAlignment="1">
      <alignment horizontal="center" vertical="center" wrapText="1"/>
    </xf>
    <xf numFmtId="0" fontId="4" fillId="0" borderId="0" xfId="2" applyFont="1" applyFill="1" applyBorder="1" applyAlignment="1">
      <alignment vertical="center"/>
    </xf>
    <xf numFmtId="4" fontId="18" fillId="0" borderId="20" xfId="3" applyNumberFormat="1" applyFont="1" applyBorder="1" applyAlignment="1">
      <alignment horizontal="right" vertical="center" wrapText="1"/>
    </xf>
    <xf numFmtId="0" fontId="7" fillId="0" borderId="0" xfId="2" applyFont="1" applyBorder="1" applyAlignment="1">
      <alignment vertical="center"/>
    </xf>
    <xf numFmtId="0" fontId="7" fillId="0" borderId="0" xfId="2" applyFont="1" applyFill="1" applyBorder="1" applyAlignment="1">
      <alignment vertical="center"/>
    </xf>
    <xf numFmtId="4" fontId="23" fillId="0" borderId="1" xfId="3" applyNumberFormat="1" applyFont="1" applyBorder="1" applyAlignment="1">
      <alignment horizontal="right" vertical="center" wrapText="1"/>
    </xf>
    <xf numFmtId="0" fontId="23" fillId="0" borderId="0" xfId="3" applyFont="1" applyBorder="1" applyAlignment="1">
      <alignment horizontal="left" vertical="center" wrapText="1"/>
    </xf>
    <xf numFmtId="1" fontId="24" fillId="0" borderId="2" xfId="2" applyNumberFormat="1" applyFont="1" applyBorder="1" applyAlignment="1" applyProtection="1">
      <alignment horizontal="center" vertical="center"/>
    </xf>
    <xf numFmtId="1" fontId="23" fillId="0" borderId="1" xfId="2" applyNumberFormat="1" applyFont="1" applyBorder="1" applyAlignment="1" applyProtection="1">
      <alignment horizontal="left" vertical="center"/>
    </xf>
    <xf numFmtId="0" fontId="25" fillId="0" borderId="0" xfId="2" applyFont="1" applyBorder="1" applyAlignment="1">
      <alignment vertical="center"/>
    </xf>
    <xf numFmtId="0" fontId="25" fillId="0" borderId="0" xfId="2" applyFont="1" applyFill="1" applyBorder="1" applyAlignment="1">
      <alignment vertical="center"/>
    </xf>
    <xf numFmtId="4" fontId="26" fillId="0" borderId="23" xfId="3" applyNumberFormat="1" applyFont="1" applyBorder="1" applyAlignment="1">
      <alignment horizontal="right" vertical="center" wrapText="1"/>
    </xf>
    <xf numFmtId="0" fontId="19" fillId="0" borderId="25" xfId="3" applyFont="1" applyBorder="1" applyAlignment="1">
      <alignment horizontal="left" vertical="center" wrapText="1"/>
    </xf>
    <xf numFmtId="0" fontId="23" fillId="0" borderId="25" xfId="3" quotePrefix="1" applyFont="1" applyBorder="1" applyAlignment="1">
      <alignment horizontal="center" vertical="center" wrapText="1"/>
    </xf>
    <xf numFmtId="1" fontId="5" fillId="0" borderId="24" xfId="2" applyNumberFormat="1" applyFont="1" applyBorder="1" applyAlignment="1" applyProtection="1">
      <alignment horizontal="center" vertical="center"/>
    </xf>
    <xf numFmtId="1" fontId="26" fillId="0" borderId="1" xfId="2" applyNumberFormat="1" applyFont="1" applyBorder="1" applyAlignment="1" applyProtection="1">
      <alignment horizontal="left" vertical="center"/>
    </xf>
    <xf numFmtId="0" fontId="18" fillId="0" borderId="25" xfId="3" applyFont="1" applyBorder="1" applyAlignment="1">
      <alignment horizontal="center" vertical="center" wrapText="1"/>
    </xf>
    <xf numFmtId="1" fontId="5" fillId="0" borderId="29" xfId="2" applyNumberFormat="1" applyFont="1" applyBorder="1" applyAlignment="1" applyProtection="1">
      <alignment horizontal="center" vertical="center"/>
    </xf>
    <xf numFmtId="0" fontId="18" fillId="0" borderId="18" xfId="3" applyFont="1" applyBorder="1" applyAlignment="1">
      <alignment vertical="center" wrapText="1"/>
    </xf>
    <xf numFmtId="0" fontId="21" fillId="0" borderId="0" xfId="2" applyFont="1" applyFill="1" applyAlignment="1">
      <alignment vertical="center"/>
    </xf>
    <xf numFmtId="0" fontId="18" fillId="0" borderId="11" xfId="6" applyFont="1" applyFill="1" applyBorder="1" applyAlignment="1">
      <alignment horizontal="left" vertical="center" wrapText="1"/>
    </xf>
    <xf numFmtId="1" fontId="19" fillId="0" borderId="9" xfId="6" applyNumberFormat="1" applyFont="1" applyFill="1" applyBorder="1" applyAlignment="1">
      <alignment horizontal="center" vertical="center" wrapText="1"/>
    </xf>
    <xf numFmtId="0" fontId="5" fillId="0" borderId="0" xfId="2" applyFont="1" applyAlignment="1">
      <alignment vertical="center"/>
    </xf>
    <xf numFmtId="0" fontId="5" fillId="0" borderId="0" xfId="2" applyFont="1" applyFill="1" applyAlignment="1">
      <alignment vertical="center"/>
    </xf>
    <xf numFmtId="0" fontId="19" fillId="2" borderId="4" xfId="4" applyFont="1" applyBorder="1" applyAlignment="1">
      <alignment horizontal="left" vertical="center" wrapText="1"/>
    </xf>
    <xf numFmtId="4" fontId="18" fillId="0" borderId="23" xfId="2" applyNumberFormat="1" applyFont="1" applyBorder="1" applyAlignment="1" applyProtection="1">
      <alignment horizontal="right" vertical="center"/>
    </xf>
    <xf numFmtId="4" fontId="18" fillId="0" borderId="24" xfId="2" applyNumberFormat="1" applyFont="1" applyBorder="1" applyAlignment="1" applyProtection="1">
      <alignment horizontal="right" vertical="center" wrapText="1"/>
    </xf>
    <xf numFmtId="1" fontId="18" fillId="0" borderId="1" xfId="2" applyNumberFormat="1" applyFont="1" applyBorder="1" applyAlignment="1" applyProtection="1">
      <alignment horizontal="center" vertical="center"/>
    </xf>
    <xf numFmtId="0" fontId="23" fillId="0" borderId="0" xfId="2" applyFont="1" applyBorder="1" applyAlignment="1" applyProtection="1">
      <alignment horizontal="center" vertical="center"/>
    </xf>
    <xf numFmtId="1" fontId="24" fillId="0" borderId="0" xfId="2" applyNumberFormat="1" applyFont="1" applyBorder="1" applyAlignment="1" applyProtection="1">
      <alignment horizontal="center" vertical="center"/>
    </xf>
    <xf numFmtId="4" fontId="18" fillId="0" borderId="1" xfId="2" applyNumberFormat="1" applyFont="1" applyBorder="1" applyAlignment="1" applyProtection="1">
      <alignment horizontal="right" vertical="center"/>
    </xf>
    <xf numFmtId="4" fontId="18" fillId="0" borderId="2" xfId="2" applyNumberFormat="1" applyFont="1" applyBorder="1" applyAlignment="1" applyProtection="1">
      <alignment horizontal="right" vertical="center" wrapText="1"/>
    </xf>
    <xf numFmtId="0" fontId="18" fillId="0" borderId="0" xfId="2" applyFont="1" applyBorder="1" applyAlignment="1" applyProtection="1">
      <alignment horizontal="center" vertical="center"/>
    </xf>
    <xf numFmtId="0" fontId="18" fillId="0" borderId="0" xfId="2" applyFont="1" applyBorder="1" applyAlignment="1" applyProtection="1">
      <alignment horizontal="left" vertical="center" wrapText="1"/>
    </xf>
    <xf numFmtId="0" fontId="18" fillId="0" borderId="25" xfId="2" applyFont="1" applyBorder="1" applyAlignment="1" applyProtection="1">
      <alignment horizontal="center" vertical="center"/>
    </xf>
    <xf numFmtId="4" fontId="18" fillId="0" borderId="16" xfId="2" applyNumberFormat="1" applyFont="1" applyBorder="1" applyAlignment="1" applyProtection="1">
      <alignment horizontal="right" vertical="center"/>
    </xf>
    <xf numFmtId="4" fontId="18" fillId="0" borderId="17" xfId="2" applyNumberFormat="1" applyFont="1" applyBorder="1" applyAlignment="1" applyProtection="1">
      <alignment horizontal="right" vertical="center" wrapText="1"/>
    </xf>
    <xf numFmtId="4" fontId="18" fillId="0" borderId="16" xfId="2" applyNumberFormat="1" applyFont="1" applyBorder="1" applyAlignment="1" applyProtection="1">
      <alignment horizontal="right" vertical="center" wrapText="1"/>
    </xf>
    <xf numFmtId="0" fontId="18" fillId="0" borderId="18" xfId="2" applyFont="1" applyBorder="1" applyAlignment="1" applyProtection="1">
      <alignment horizontal="center" vertical="center"/>
    </xf>
    <xf numFmtId="0" fontId="18" fillId="0" borderId="25" xfId="2" applyFont="1" applyBorder="1" applyAlignment="1" applyProtection="1">
      <alignment horizontal="left" vertical="center" wrapText="1"/>
    </xf>
    <xf numFmtId="0" fontId="18" fillId="0" borderId="18" xfId="2" applyFont="1" applyBorder="1" applyAlignment="1" applyProtection="1">
      <alignment horizontal="left" vertical="center" wrapText="1"/>
    </xf>
    <xf numFmtId="0" fontId="4" fillId="0" borderId="0" xfId="2" applyFont="1" applyFill="1" applyAlignment="1">
      <alignment vertical="center"/>
    </xf>
    <xf numFmtId="4" fontId="18" fillId="0" borderId="1" xfId="2" applyNumberFormat="1" applyFont="1" applyBorder="1" applyAlignment="1" applyProtection="1">
      <alignment horizontal="right" vertical="center" wrapText="1"/>
    </xf>
    <xf numFmtId="0" fontId="22" fillId="5" borderId="0" xfId="2" applyFont="1" applyFill="1" applyAlignment="1">
      <alignment vertical="center"/>
    </xf>
    <xf numFmtId="0" fontId="22" fillId="0" borderId="0" xfId="2" applyFont="1" applyFill="1" applyAlignment="1">
      <alignment vertical="center"/>
    </xf>
    <xf numFmtId="4" fontId="19" fillId="5" borderId="13" xfId="2" applyNumberFormat="1" applyFont="1" applyFill="1" applyBorder="1" applyAlignment="1" applyProtection="1">
      <alignment horizontal="right" vertical="center" wrapText="1"/>
    </xf>
    <xf numFmtId="4" fontId="19" fillId="5" borderId="15" xfId="2" applyNumberFormat="1" applyFont="1" applyFill="1" applyBorder="1" applyAlignment="1" applyProtection="1">
      <alignment horizontal="right" vertical="center" wrapText="1"/>
    </xf>
    <xf numFmtId="0" fontId="19" fillId="5" borderId="4" xfId="2" applyFont="1" applyFill="1" applyBorder="1" applyAlignment="1" applyProtection="1">
      <alignment horizontal="left" vertical="center" wrapText="1"/>
    </xf>
    <xf numFmtId="0" fontId="18" fillId="5" borderId="4" xfId="2" applyFont="1" applyFill="1" applyBorder="1" applyAlignment="1" applyProtection="1">
      <alignment horizontal="center" vertical="center"/>
    </xf>
    <xf numFmtId="1" fontId="5" fillId="5" borderId="4" xfId="2" applyNumberFormat="1" applyFont="1" applyFill="1" applyBorder="1" applyAlignment="1" applyProtection="1">
      <alignment horizontal="center" vertical="center"/>
    </xf>
    <xf numFmtId="1" fontId="19" fillId="5" borderId="13" xfId="2" applyNumberFormat="1" applyFont="1" applyFill="1" applyBorder="1" applyAlignment="1" applyProtection="1">
      <alignment horizontal="center" vertical="center"/>
    </xf>
    <xf numFmtId="4" fontId="18" fillId="0" borderId="9" xfId="2" applyNumberFormat="1" applyFont="1" applyBorder="1" applyAlignment="1" applyProtection="1">
      <alignment horizontal="right" vertical="center"/>
    </xf>
    <xf numFmtId="4" fontId="18" fillId="0" borderId="9" xfId="2" applyNumberFormat="1" applyFont="1" applyBorder="1" applyAlignment="1" applyProtection="1">
      <alignment horizontal="right" vertical="center" wrapText="1"/>
    </xf>
    <xf numFmtId="4" fontId="18" fillId="0" borderId="10" xfId="2" applyNumberFormat="1" applyFont="1" applyBorder="1" applyAlignment="1" applyProtection="1">
      <alignment horizontal="right" vertical="center" wrapText="1"/>
    </xf>
    <xf numFmtId="0" fontId="18" fillId="0" borderId="11" xfId="2" applyFont="1" applyBorder="1" applyAlignment="1" applyProtection="1">
      <alignment horizontal="center" vertical="center"/>
    </xf>
    <xf numFmtId="1" fontId="5" fillId="0" borderId="11" xfId="2" applyNumberFormat="1" applyFont="1" applyBorder="1" applyAlignment="1" applyProtection="1">
      <alignment horizontal="center" vertical="center"/>
    </xf>
    <xf numFmtId="1" fontId="18" fillId="0" borderId="9" xfId="2" applyNumberFormat="1" applyFont="1" applyBorder="1" applyAlignment="1" applyProtection="1">
      <alignment horizontal="center" vertical="center"/>
    </xf>
    <xf numFmtId="0" fontId="11" fillId="5" borderId="0" xfId="2" applyFont="1" applyFill="1" applyAlignment="1">
      <alignment vertical="center"/>
    </xf>
    <xf numFmtId="0" fontId="11" fillId="0" borderId="0" xfId="2" applyFont="1" applyFill="1" applyAlignment="1">
      <alignment vertical="center"/>
    </xf>
    <xf numFmtId="4" fontId="18" fillId="0" borderId="20" xfId="2" applyNumberFormat="1" applyFont="1" applyBorder="1" applyAlignment="1" applyProtection="1">
      <alignment horizontal="right" vertical="center" wrapText="1"/>
    </xf>
    <xf numFmtId="4" fontId="27" fillId="0" borderId="30" xfId="3" applyNumberFormat="1" applyFont="1" applyBorder="1" applyAlignment="1">
      <alignment horizontal="left" vertical="center" wrapText="1"/>
    </xf>
    <xf numFmtId="4" fontId="19" fillId="5" borderId="13" xfId="3" applyNumberFormat="1" applyFont="1" applyFill="1" applyBorder="1" applyAlignment="1">
      <alignment horizontal="right" vertical="center"/>
    </xf>
    <xf numFmtId="4" fontId="19" fillId="5" borderId="15" xfId="3" applyNumberFormat="1" applyFont="1" applyFill="1" applyBorder="1" applyAlignment="1">
      <alignment horizontal="right" vertical="center"/>
    </xf>
    <xf numFmtId="0" fontId="19" fillId="5" borderId="11" xfId="0" applyNumberFormat="1" applyFont="1" applyFill="1" applyBorder="1" applyAlignment="1" applyProtection="1">
      <alignment horizontal="left" vertical="center" wrapText="1"/>
    </xf>
    <xf numFmtId="0" fontId="18" fillId="5" borderId="4" xfId="0" applyNumberFormat="1" applyFont="1" applyFill="1" applyBorder="1" applyAlignment="1" applyProtection="1">
      <alignment horizontal="center" vertical="center"/>
    </xf>
    <xf numFmtId="1" fontId="5" fillId="5" borderId="4" xfId="0" applyNumberFormat="1" applyFont="1" applyFill="1" applyBorder="1" applyAlignment="1" applyProtection="1">
      <alignment horizontal="center" vertical="center"/>
    </xf>
    <xf numFmtId="1" fontId="19" fillId="5" borderId="13" xfId="0" applyNumberFormat="1" applyFont="1" applyFill="1" applyBorder="1" applyAlignment="1" applyProtection="1">
      <alignment horizontal="center" vertical="center" wrapText="1"/>
    </xf>
    <xf numFmtId="4" fontId="18" fillId="0" borderId="0" xfId="6" applyNumberFormat="1" applyFont="1" applyFill="1" applyBorder="1" applyAlignment="1">
      <alignment horizontal="center" vertical="center" wrapText="1"/>
    </xf>
    <xf numFmtId="4" fontId="21" fillId="0" borderId="0" xfId="5" applyNumberFormat="1" applyFont="1" applyAlignment="1">
      <alignment vertical="center"/>
    </xf>
    <xf numFmtId="0" fontId="23" fillId="0" borderId="0" xfId="6" applyFont="1" applyFill="1" applyBorder="1" applyAlignment="1">
      <alignment horizontal="left" vertical="center" wrapText="1"/>
    </xf>
    <xf numFmtId="1" fontId="18" fillId="0" borderId="1" xfId="0" applyNumberFormat="1" applyFont="1" applyBorder="1" applyAlignment="1" applyProtection="1">
      <alignment horizontal="center" vertical="center" wrapText="1"/>
    </xf>
    <xf numFmtId="0" fontId="19" fillId="5" borderId="4" xfId="0" applyNumberFormat="1" applyFont="1" applyFill="1" applyBorder="1" applyAlignment="1" applyProtection="1">
      <alignment horizontal="left" vertical="center" wrapText="1"/>
    </xf>
    <xf numFmtId="0" fontId="19" fillId="5" borderId="12" xfId="6" applyFont="1" applyFill="1" applyBorder="1" applyAlignment="1">
      <alignment horizontal="left" vertical="center" wrapText="1"/>
    </xf>
    <xf numFmtId="0" fontId="18" fillId="5" borderId="12" xfId="6" applyFont="1" applyFill="1" applyBorder="1" applyAlignment="1">
      <alignment horizontal="center" vertical="center" wrapText="1"/>
    </xf>
    <xf numFmtId="1" fontId="5" fillId="5" borderId="12" xfId="6" applyNumberFormat="1" applyFont="1" applyFill="1" applyBorder="1" applyAlignment="1">
      <alignment horizontal="center" vertical="center" wrapText="1"/>
    </xf>
    <xf numFmtId="1" fontId="19" fillId="5" borderId="7" xfId="6" applyNumberFormat="1" applyFont="1" applyFill="1" applyBorder="1" applyAlignment="1">
      <alignment horizontal="center" vertical="center" wrapText="1"/>
    </xf>
    <xf numFmtId="1" fontId="19" fillId="0" borderId="1" xfId="6" applyNumberFormat="1" applyFont="1" applyFill="1" applyBorder="1" applyAlignment="1">
      <alignment horizontal="center" vertical="center" wrapText="1"/>
    </xf>
    <xf numFmtId="4" fontId="7" fillId="0" borderId="0" xfId="5" applyNumberFormat="1" applyFont="1" applyBorder="1" applyAlignment="1">
      <alignment vertical="center"/>
    </xf>
    <xf numFmtId="4" fontId="19" fillId="5" borderId="4" xfId="6" applyNumberFormat="1" applyFont="1" applyFill="1" applyBorder="1" applyAlignment="1">
      <alignment horizontal="left" vertical="center" wrapText="1"/>
    </xf>
    <xf numFmtId="4" fontId="18" fillId="5" borderId="4" xfId="6" applyNumberFormat="1" applyFont="1" applyFill="1" applyBorder="1" applyAlignment="1">
      <alignment horizontal="center" vertical="center" wrapText="1"/>
    </xf>
    <xf numFmtId="4" fontId="22" fillId="0" borderId="0" xfId="5" applyNumberFormat="1" applyFont="1" applyFill="1" applyBorder="1" applyAlignment="1">
      <alignment vertical="center"/>
    </xf>
    <xf numFmtId="0" fontId="19" fillId="0" borderId="34" xfId="6" applyFont="1" applyFill="1" applyBorder="1" applyAlignment="1">
      <alignment horizontal="left" vertical="center" wrapText="1"/>
    </xf>
    <xf numFmtId="4" fontId="18" fillId="0" borderId="25" xfId="6" applyNumberFormat="1" applyFont="1" applyFill="1" applyBorder="1" applyAlignment="1">
      <alignment horizontal="center" vertical="center" wrapText="1"/>
    </xf>
    <xf numFmtId="1" fontId="5" fillId="0" borderId="24" xfId="6" applyNumberFormat="1" applyFont="1" applyFill="1" applyBorder="1" applyAlignment="1">
      <alignment horizontal="center" vertical="center" wrapText="1"/>
    </xf>
    <xf numFmtId="4" fontId="31" fillId="0" borderId="0" xfId="5" applyNumberFormat="1" applyFont="1" applyFill="1" applyBorder="1" applyAlignment="1">
      <alignment vertical="center"/>
    </xf>
    <xf numFmtId="4" fontId="19" fillId="0" borderId="25" xfId="6" applyNumberFormat="1" applyFont="1" applyFill="1" applyBorder="1" applyAlignment="1">
      <alignment horizontal="left" vertical="center" wrapText="1"/>
    </xf>
    <xf numFmtId="4" fontId="22" fillId="0" borderId="0" xfId="5" applyNumberFormat="1" applyFont="1" applyAlignment="1">
      <alignment vertical="center"/>
    </xf>
    <xf numFmtId="4" fontId="19" fillId="0" borderId="1" xfId="6" applyNumberFormat="1" applyFont="1" applyFill="1" applyBorder="1" applyAlignment="1">
      <alignment horizontal="right" vertical="center" wrapText="1"/>
    </xf>
    <xf numFmtId="4" fontId="19" fillId="0" borderId="0" xfId="6" applyNumberFormat="1" applyFont="1" applyFill="1" applyBorder="1" applyAlignment="1">
      <alignment horizontal="left" vertical="center" wrapText="1"/>
    </xf>
    <xf numFmtId="4" fontId="5" fillId="0" borderId="0" xfId="5" applyNumberFormat="1" applyFont="1" applyAlignment="1">
      <alignment vertical="center"/>
    </xf>
    <xf numFmtId="4" fontId="19" fillId="0" borderId="10" xfId="6" applyNumberFormat="1" applyFont="1" applyFill="1" applyBorder="1" applyAlignment="1">
      <alignment horizontal="right" vertical="center" wrapText="1"/>
    </xf>
    <xf numFmtId="4" fontId="19" fillId="0" borderId="11" xfId="6" applyNumberFormat="1" applyFont="1" applyFill="1" applyBorder="1" applyAlignment="1">
      <alignment horizontal="left" vertical="center" wrapText="1"/>
    </xf>
    <xf numFmtId="4" fontId="18" fillId="0" borderId="11" xfId="6" applyNumberFormat="1" applyFont="1" applyFill="1" applyBorder="1" applyAlignment="1">
      <alignment horizontal="center" vertical="center" wrapText="1"/>
    </xf>
    <xf numFmtId="1" fontId="5" fillId="0" borderId="11" xfId="6" applyNumberFormat="1" applyFont="1" applyFill="1" applyBorder="1" applyAlignment="1">
      <alignment horizontal="center" vertical="center" wrapText="1"/>
    </xf>
    <xf numFmtId="4" fontId="19" fillId="5" borderId="12" xfId="6" applyNumberFormat="1" applyFont="1" applyFill="1" applyBorder="1" applyAlignment="1">
      <alignment horizontal="left" vertical="center" wrapText="1"/>
    </xf>
    <xf numFmtId="4" fontId="18" fillId="5" borderId="12" xfId="6" applyNumberFormat="1" applyFont="1" applyFill="1" applyBorder="1" applyAlignment="1">
      <alignment horizontal="center" vertical="center" wrapText="1"/>
    </xf>
    <xf numFmtId="4" fontId="4" fillId="0" borderId="0" xfId="5" applyNumberFormat="1" applyFont="1" applyBorder="1" applyAlignment="1">
      <alignment vertical="center"/>
    </xf>
    <xf numFmtId="4" fontId="19" fillId="2" borderId="4" xfId="4" applyNumberFormat="1" applyFont="1" applyBorder="1" applyAlignment="1">
      <alignment horizontal="center" vertical="center" wrapText="1"/>
    </xf>
    <xf numFmtId="4" fontId="18" fillId="2" borderId="4" xfId="4" applyNumberFormat="1" applyFont="1" applyBorder="1" applyAlignment="1">
      <alignment horizontal="center" vertical="center" wrapText="1"/>
    </xf>
    <xf numFmtId="1" fontId="19" fillId="2" borderId="15" xfId="4" applyNumberFormat="1" applyFont="1" applyBorder="1" applyAlignment="1">
      <alignment horizontal="center" vertical="center" wrapText="1"/>
    </xf>
    <xf numFmtId="0" fontId="4" fillId="0" borderId="0" xfId="5" applyFont="1" applyAlignment="1">
      <alignment vertical="center"/>
    </xf>
    <xf numFmtId="1" fontId="5" fillId="0" borderId="24" xfId="3" applyNumberFormat="1" applyFont="1" applyBorder="1" applyAlignment="1">
      <alignment horizontal="center" vertical="center" wrapText="1"/>
    </xf>
    <xf numFmtId="1" fontId="19" fillId="0" borderId="1" xfId="5" applyNumberFormat="1" applyFont="1" applyBorder="1" applyAlignment="1" applyProtection="1">
      <alignment horizontal="center" vertical="center" wrapText="1"/>
    </xf>
    <xf numFmtId="4" fontId="18" fillId="0" borderId="21" xfId="3" applyNumberFormat="1" applyFont="1" applyBorder="1" applyAlignment="1">
      <alignment horizontal="right" vertical="center" wrapText="1"/>
    </xf>
    <xf numFmtId="4" fontId="18" fillId="0" borderId="22" xfId="3" applyNumberFormat="1" applyFont="1" applyBorder="1" applyAlignment="1">
      <alignment horizontal="left" vertical="center" wrapText="1"/>
    </xf>
    <xf numFmtId="4" fontId="18" fillId="0" borderId="22" xfId="3" applyNumberFormat="1" applyFont="1" applyBorder="1" applyAlignment="1">
      <alignment horizontal="center" vertical="center" wrapText="1"/>
    </xf>
    <xf numFmtId="1" fontId="5" fillId="0" borderId="21" xfId="3" applyNumberFormat="1" applyFont="1" applyBorder="1" applyAlignment="1">
      <alignment horizontal="center" vertical="center" wrapText="1"/>
    </xf>
    <xf numFmtId="4" fontId="18" fillId="0" borderId="24" xfId="3" applyNumberFormat="1" applyFont="1" applyBorder="1" applyAlignment="1">
      <alignment horizontal="right" vertical="center" wrapText="1"/>
    </xf>
    <xf numFmtId="4" fontId="18" fillId="0" borderId="25" xfId="6" applyNumberFormat="1" applyFont="1" applyFill="1" applyBorder="1" applyAlignment="1">
      <alignment horizontal="left" vertical="center" wrapText="1"/>
    </xf>
    <xf numFmtId="4" fontId="18" fillId="0" borderId="25" xfId="3" applyNumberFormat="1" applyFont="1" applyBorder="1" applyAlignment="1">
      <alignment horizontal="center" vertical="center" wrapText="1"/>
    </xf>
    <xf numFmtId="4" fontId="18" fillId="0" borderId="33" xfId="3" applyNumberFormat="1" applyFont="1" applyBorder="1" applyAlignment="1">
      <alignment horizontal="left" vertical="center" wrapText="1"/>
    </xf>
    <xf numFmtId="4" fontId="18" fillId="0" borderId="33" xfId="3" applyNumberFormat="1" applyFont="1" applyBorder="1" applyAlignment="1">
      <alignment horizontal="center" vertical="center" wrapText="1"/>
    </xf>
    <xf numFmtId="1" fontId="5" fillId="0" borderId="33" xfId="3" applyNumberFormat="1" applyFont="1" applyBorder="1" applyAlignment="1">
      <alignment horizontal="center" vertical="center" wrapText="1"/>
    </xf>
    <xf numFmtId="4" fontId="23" fillId="0" borderId="1" xfId="6" applyNumberFormat="1" applyFont="1" applyFill="1" applyBorder="1" applyAlignment="1">
      <alignment horizontal="right" vertical="center" wrapText="1"/>
    </xf>
    <xf numFmtId="1" fontId="24" fillId="0" borderId="0" xfId="6" applyNumberFormat="1" applyFont="1" applyFill="1" applyBorder="1" applyAlignment="1">
      <alignment horizontal="center" vertical="center" wrapText="1"/>
    </xf>
    <xf numFmtId="4" fontId="18" fillId="0" borderId="0" xfId="3" applyNumberFormat="1" applyFont="1" applyBorder="1" applyAlignment="1">
      <alignment horizontal="center" vertical="center" wrapText="1"/>
    </xf>
    <xf numFmtId="1" fontId="18" fillId="0" borderId="1" xfId="5" applyNumberFormat="1" applyFont="1" applyBorder="1" applyAlignment="1" applyProtection="1">
      <alignment horizontal="center" vertical="center" wrapText="1"/>
    </xf>
    <xf numFmtId="4" fontId="18" fillId="0" borderId="2" xfId="3" applyNumberFormat="1" applyFont="1" applyBorder="1" applyAlignment="1">
      <alignment horizontal="right" vertical="center" wrapText="1"/>
    </xf>
    <xf numFmtId="4" fontId="18" fillId="0" borderId="0" xfId="3" applyNumberFormat="1" applyFont="1" applyBorder="1" applyAlignment="1">
      <alignment horizontal="left" vertical="center" wrapText="1"/>
    </xf>
    <xf numFmtId="4" fontId="18" fillId="0" borderId="17" xfId="3" applyNumberFormat="1" applyFont="1" applyBorder="1" applyAlignment="1">
      <alignment horizontal="right" vertical="center" wrapText="1"/>
    </xf>
    <xf numFmtId="4" fontId="19" fillId="0" borderId="18" xfId="3" applyNumberFormat="1" applyFont="1" applyBorder="1" applyAlignment="1">
      <alignment horizontal="left" vertical="center" wrapText="1"/>
    </xf>
    <xf numFmtId="4" fontId="18" fillId="0" borderId="18" xfId="3" applyNumberFormat="1" applyFont="1" applyBorder="1" applyAlignment="1">
      <alignment horizontal="center" vertical="center" wrapText="1"/>
    </xf>
    <xf numFmtId="1" fontId="5" fillId="0" borderId="17" xfId="3" applyNumberFormat="1" applyFont="1" applyBorder="1" applyAlignment="1">
      <alignment horizontal="center" vertical="center" wrapText="1"/>
    </xf>
    <xf numFmtId="0" fontId="18" fillId="0" borderId="33" xfId="3" applyFont="1" applyBorder="1" applyAlignment="1">
      <alignment horizontal="left" vertical="center" wrapText="1"/>
    </xf>
    <xf numFmtId="4" fontId="23" fillId="0" borderId="0" xfId="3" applyNumberFormat="1" applyFont="1" applyBorder="1" applyAlignment="1">
      <alignment horizontal="left" vertical="center" wrapText="1"/>
    </xf>
    <xf numFmtId="4" fontId="18" fillId="0" borderId="18" xfId="3" applyNumberFormat="1" applyFont="1" applyBorder="1" applyAlignment="1">
      <alignment horizontal="left" vertical="center" wrapText="1"/>
    </xf>
    <xf numFmtId="4" fontId="18" fillId="0" borderId="11" xfId="3" applyNumberFormat="1" applyFont="1" applyBorder="1" applyAlignment="1">
      <alignment horizontal="left" vertical="center" wrapText="1"/>
    </xf>
    <xf numFmtId="4" fontId="18" fillId="0" borderId="11" xfId="3" applyNumberFormat="1" applyFont="1" applyBorder="1" applyAlignment="1">
      <alignment horizontal="center" vertical="center" wrapText="1"/>
    </xf>
    <xf numFmtId="1" fontId="5" fillId="0" borderId="11" xfId="3" applyNumberFormat="1" applyFont="1" applyBorder="1" applyAlignment="1">
      <alignment horizontal="center" vertical="center" wrapText="1"/>
    </xf>
    <xf numFmtId="1" fontId="18" fillId="0" borderId="9" xfId="5" applyNumberFormat="1" applyFont="1" applyBorder="1" applyAlignment="1" applyProtection="1">
      <alignment horizontal="center" vertical="center" wrapText="1"/>
    </xf>
    <xf numFmtId="4" fontId="4" fillId="0" borderId="0" xfId="7" applyNumberFormat="1" applyFont="1" applyAlignment="1">
      <alignment vertical="center"/>
    </xf>
    <xf numFmtId="0" fontId="4" fillId="0" borderId="0" xfId="2" applyFont="1" applyBorder="1" applyAlignment="1">
      <alignment horizontal="left" vertical="center"/>
    </xf>
    <xf numFmtId="4" fontId="23" fillId="0" borderId="7" xfId="2" applyNumberFormat="1" applyFont="1" applyBorder="1" applyAlignment="1" applyProtection="1">
      <alignment horizontal="right" vertical="center" wrapText="1"/>
    </xf>
    <xf numFmtId="1" fontId="5" fillId="0" borderId="8" xfId="2" applyNumberFormat="1" applyFont="1" applyBorder="1" applyAlignment="1" applyProtection="1">
      <alignment horizontal="center" vertical="center"/>
    </xf>
    <xf numFmtId="4" fontId="23" fillId="0" borderId="1" xfId="2" applyNumberFormat="1" applyFont="1" applyBorder="1" applyAlignment="1" applyProtection="1">
      <alignment horizontal="right" vertical="center" wrapText="1"/>
    </xf>
    <xf numFmtId="0" fontId="18" fillId="0" borderId="0" xfId="2" quotePrefix="1" applyFont="1" applyBorder="1" applyAlignment="1" applyProtection="1">
      <alignment horizontal="center" vertical="center"/>
    </xf>
    <xf numFmtId="0" fontId="23" fillId="0" borderId="36" xfId="2" applyFont="1" applyBorder="1" applyAlignment="1" applyProtection="1">
      <alignment horizontal="right" vertical="center" wrapText="1"/>
    </xf>
    <xf numFmtId="0" fontId="23" fillId="0" borderId="35" xfId="2" applyFont="1" applyBorder="1" applyAlignment="1" applyProtection="1">
      <alignment horizontal="right" vertical="center" wrapText="1"/>
    </xf>
    <xf numFmtId="0" fontId="23" fillId="0" borderId="0" xfId="2" applyFont="1" applyBorder="1" applyAlignment="1" applyProtection="1">
      <alignment horizontal="center" vertical="center" wrapText="1"/>
    </xf>
    <xf numFmtId="0" fontId="23" fillId="0" borderId="2" xfId="2" applyFont="1" applyBorder="1" applyAlignment="1" applyProtection="1">
      <alignment horizontal="right" vertical="center" wrapText="1"/>
    </xf>
    <xf numFmtId="4" fontId="19" fillId="0" borderId="9" xfId="2" applyNumberFormat="1" applyFont="1" applyBorder="1" applyAlignment="1" applyProtection="1">
      <alignment horizontal="right" vertical="center"/>
    </xf>
    <xf numFmtId="4" fontId="19" fillId="0" borderId="9" xfId="2" applyNumberFormat="1" applyFont="1" applyBorder="1" applyAlignment="1" applyProtection="1">
      <alignment horizontal="right" vertical="center" wrapText="1"/>
    </xf>
    <xf numFmtId="0" fontId="19" fillId="0" borderId="11" xfId="2" applyFont="1" applyBorder="1" applyAlignment="1" applyProtection="1">
      <alignment horizontal="left" vertical="center" wrapText="1"/>
    </xf>
    <xf numFmtId="1" fontId="5" fillId="0" borderId="10" xfId="2" applyNumberFormat="1" applyFont="1" applyBorder="1" applyAlignment="1" applyProtection="1">
      <alignment horizontal="center" vertical="center"/>
    </xf>
    <xf numFmtId="0" fontId="19" fillId="5" borderId="11" xfId="6" applyFont="1" applyFill="1" applyBorder="1" applyAlignment="1">
      <alignment horizontal="left" vertical="center" wrapText="1"/>
    </xf>
    <xf numFmtId="0" fontId="18" fillId="5" borderId="11" xfId="6" applyFont="1" applyFill="1" applyBorder="1" applyAlignment="1">
      <alignment horizontal="center" vertical="center" wrapText="1"/>
    </xf>
    <xf numFmtId="1" fontId="5" fillId="5" borderId="11" xfId="6" applyNumberFormat="1" applyFont="1" applyFill="1" applyBorder="1" applyAlignment="1">
      <alignment horizontal="center" vertical="center" wrapText="1"/>
    </xf>
    <xf numFmtId="0" fontId="18" fillId="0" borderId="33" xfId="2" applyFont="1" applyBorder="1" applyAlignment="1" applyProtection="1">
      <alignment horizontal="center" vertical="center"/>
    </xf>
    <xf numFmtId="1" fontId="5" fillId="0" borderId="32" xfId="2" applyNumberFormat="1" applyFont="1" applyBorder="1" applyAlignment="1" applyProtection="1">
      <alignment horizontal="center" vertical="center"/>
    </xf>
    <xf numFmtId="4" fontId="21" fillId="0" borderId="0" xfId="5" applyNumberFormat="1" applyFont="1" applyBorder="1" applyAlignment="1">
      <alignment vertical="center"/>
    </xf>
    <xf numFmtId="4" fontId="19" fillId="0" borderId="16" xfId="6" applyNumberFormat="1" applyFont="1" applyFill="1" applyBorder="1" applyAlignment="1">
      <alignment horizontal="right" vertical="center" wrapText="1"/>
    </xf>
    <xf numFmtId="4" fontId="18" fillId="0" borderId="18" xfId="6" applyNumberFormat="1" applyFont="1" applyFill="1" applyBorder="1" applyAlignment="1">
      <alignment horizontal="center" vertical="center" wrapText="1"/>
    </xf>
    <xf numFmtId="1" fontId="5" fillId="0" borderId="17" xfId="6" applyNumberFormat="1" applyFont="1" applyFill="1" applyBorder="1" applyAlignment="1">
      <alignment horizontal="center" vertical="center" wrapText="1"/>
    </xf>
    <xf numFmtId="4" fontId="19" fillId="0" borderId="24" xfId="6" applyNumberFormat="1" applyFont="1" applyFill="1" applyBorder="1" applyAlignment="1">
      <alignment horizontal="right" vertical="center" wrapText="1"/>
    </xf>
    <xf numFmtId="0" fontId="18" fillId="0" borderId="18" xfId="3" applyFont="1" applyFill="1" applyBorder="1" applyAlignment="1">
      <alignment horizontal="left" vertical="center" wrapText="1"/>
    </xf>
    <xf numFmtId="4" fontId="32" fillId="0" borderId="0" xfId="5" applyNumberFormat="1" applyFont="1" applyAlignment="1">
      <alignment vertical="center"/>
    </xf>
    <xf numFmtId="4" fontId="26" fillId="0" borderId="1" xfId="6" applyNumberFormat="1" applyFont="1" applyFill="1" applyBorder="1" applyAlignment="1">
      <alignment horizontal="right" vertical="center" wrapText="1"/>
    </xf>
    <xf numFmtId="4" fontId="23" fillId="0" borderId="0" xfId="6" applyNumberFormat="1" applyFont="1" applyFill="1" applyBorder="1" applyAlignment="1">
      <alignment horizontal="left" vertical="center" wrapText="1"/>
    </xf>
    <xf numFmtId="4" fontId="23" fillId="0" borderId="0" xfId="6" applyNumberFormat="1" applyFont="1" applyFill="1" applyBorder="1" applyAlignment="1">
      <alignment horizontal="center" vertical="center" wrapText="1"/>
    </xf>
    <xf numFmtId="1" fontId="26" fillId="0" borderId="1" xfId="6" applyNumberFormat="1" applyFont="1" applyFill="1" applyBorder="1" applyAlignment="1">
      <alignment horizontal="center" vertical="center" wrapText="1"/>
    </xf>
    <xf numFmtId="0" fontId="7" fillId="0" borderId="0" xfId="5" applyFont="1" applyAlignment="1">
      <alignment vertical="center"/>
    </xf>
    <xf numFmtId="0" fontId="23" fillId="0" borderId="0" xfId="3" applyFont="1" applyBorder="1" applyAlignment="1">
      <alignment vertical="center" wrapText="1"/>
    </xf>
    <xf numFmtId="0" fontId="23" fillId="0" borderId="0" xfId="3" applyFont="1" applyBorder="1" applyAlignment="1">
      <alignment horizontal="center" vertical="center" wrapText="1"/>
    </xf>
    <xf numFmtId="1" fontId="26" fillId="0" borderId="1" xfId="5" applyNumberFormat="1" applyFont="1" applyBorder="1" applyAlignment="1" applyProtection="1">
      <alignment horizontal="center" vertical="center" wrapText="1"/>
    </xf>
    <xf numFmtId="0" fontId="19" fillId="0" borderId="25" xfId="3" applyFont="1" applyFill="1" applyBorder="1" applyAlignment="1">
      <alignment horizontal="left" vertical="center" wrapText="1"/>
    </xf>
    <xf numFmtId="4" fontId="32" fillId="0" borderId="0" xfId="5" applyNumberFormat="1" applyFont="1" applyFill="1" applyAlignment="1">
      <alignment vertical="center"/>
    </xf>
    <xf numFmtId="0" fontId="18" fillId="0" borderId="33" xfId="3" applyFont="1" applyBorder="1" applyAlignment="1">
      <alignment horizontal="center" vertical="center" wrapText="1"/>
    </xf>
    <xf numFmtId="0" fontId="21" fillId="0" borderId="0" xfId="5" applyFont="1" applyAlignment="1">
      <alignment vertical="center"/>
    </xf>
    <xf numFmtId="1" fontId="5" fillId="0" borderId="2" xfId="3" applyNumberFormat="1" applyFont="1" applyBorder="1" applyAlignment="1">
      <alignment horizontal="center" vertical="center" wrapText="1"/>
    </xf>
    <xf numFmtId="4" fontId="19" fillId="0" borderId="25" xfId="3" applyNumberFormat="1" applyFont="1" applyBorder="1" applyAlignment="1">
      <alignment horizontal="left" vertical="center" wrapText="1"/>
    </xf>
    <xf numFmtId="4" fontId="22" fillId="0" borderId="0" xfId="5" applyNumberFormat="1" applyFont="1" applyBorder="1" applyAlignment="1">
      <alignment vertical="center"/>
    </xf>
    <xf numFmtId="4" fontId="19" fillId="0" borderId="1" xfId="3" applyNumberFormat="1" applyFont="1" applyBorder="1" applyAlignment="1">
      <alignment horizontal="right" vertical="center" wrapText="1"/>
    </xf>
    <xf numFmtId="4" fontId="32" fillId="0" borderId="0" xfId="5" applyNumberFormat="1" applyFont="1" applyBorder="1" applyAlignment="1">
      <alignment vertical="center"/>
    </xf>
    <xf numFmtId="4" fontId="21" fillId="0" borderId="0" xfId="5" applyNumberFormat="1" applyFont="1" applyFill="1" applyAlignment="1">
      <alignment vertical="center"/>
    </xf>
    <xf numFmtId="4" fontId="18" fillId="0" borderId="37" xfId="3" applyNumberFormat="1" applyFont="1" applyBorder="1" applyAlignment="1">
      <alignment horizontal="right" vertical="center" wrapText="1"/>
    </xf>
    <xf numFmtId="4" fontId="19" fillId="0" borderId="37" xfId="6" applyNumberFormat="1" applyFont="1" applyFill="1" applyBorder="1" applyAlignment="1">
      <alignment horizontal="right" vertical="center" wrapText="1"/>
    </xf>
    <xf numFmtId="4" fontId="18" fillId="0" borderId="23" xfId="6" applyNumberFormat="1" applyFont="1" applyFill="1" applyBorder="1" applyAlignment="1">
      <alignment horizontal="right" vertical="center" wrapText="1"/>
    </xf>
    <xf numFmtId="0" fontId="18" fillId="0" borderId="25" xfId="6" applyFont="1" applyFill="1" applyBorder="1" applyAlignment="1">
      <alignment horizontal="left" vertical="center" wrapText="1"/>
    </xf>
    <xf numFmtId="4" fontId="18" fillId="0" borderId="16" xfId="6" applyNumberFormat="1" applyFont="1" applyFill="1" applyBorder="1" applyAlignment="1">
      <alignment horizontal="right" vertical="center" wrapText="1"/>
    </xf>
    <xf numFmtId="4" fontId="19" fillId="0" borderId="2" xfId="6" applyNumberFormat="1" applyFont="1" applyFill="1" applyBorder="1" applyAlignment="1">
      <alignment horizontal="right" vertical="center" wrapText="1"/>
    </xf>
    <xf numFmtId="0" fontId="19" fillId="0" borderId="34" xfId="3" applyFont="1" applyBorder="1" applyAlignment="1">
      <alignment vertical="center" wrapText="1"/>
    </xf>
    <xf numFmtId="0" fontId="18" fillId="0" borderId="25" xfId="6" applyFont="1" applyFill="1" applyBorder="1" applyAlignment="1">
      <alignment horizontal="center" vertical="center" wrapText="1"/>
    </xf>
    <xf numFmtId="0" fontId="19" fillId="0" borderId="34" xfId="3" applyFont="1" applyBorder="1" applyAlignment="1">
      <alignment horizontal="left" vertical="center" wrapText="1"/>
    </xf>
    <xf numFmtId="0" fontId="22" fillId="0" borderId="0" xfId="5" applyFont="1" applyAlignment="1">
      <alignment vertical="center"/>
    </xf>
    <xf numFmtId="4" fontId="36" fillId="0" borderId="20" xfId="3" applyNumberFormat="1" applyFont="1" applyBorder="1" applyAlignment="1">
      <alignment horizontal="right" vertical="center" wrapText="1"/>
    </xf>
    <xf numFmtId="4" fontId="18" fillId="0" borderId="22" xfId="3" applyNumberFormat="1" applyFont="1" applyFill="1" applyBorder="1" applyAlignment="1">
      <alignment horizontal="left" vertical="center" wrapText="1"/>
    </xf>
    <xf numFmtId="1" fontId="18" fillId="0" borderId="1" xfId="3" applyNumberFormat="1" applyFont="1" applyBorder="1" applyAlignment="1">
      <alignment horizontal="center" vertical="center" wrapText="1"/>
    </xf>
    <xf numFmtId="4" fontId="31" fillId="0" borderId="0" xfId="5" applyNumberFormat="1" applyFont="1" applyAlignment="1">
      <alignment vertical="center"/>
    </xf>
    <xf numFmtId="0" fontId="5" fillId="0" borderId="0" xfId="5" applyFont="1" applyAlignment="1">
      <alignment vertical="center"/>
    </xf>
    <xf numFmtId="0" fontId="18" fillId="0" borderId="3" xfId="3" applyFont="1" applyBorder="1" applyAlignment="1">
      <alignment horizontal="left" vertical="center" wrapText="1"/>
    </xf>
    <xf numFmtId="0" fontId="18" fillId="0" borderId="40" xfId="3" applyFont="1" applyBorder="1" applyAlignment="1">
      <alignment horizontal="center" vertical="center" wrapText="1"/>
    </xf>
    <xf numFmtId="1" fontId="5" fillId="0" borderId="40" xfId="3" applyNumberFormat="1" applyFont="1" applyBorder="1" applyAlignment="1">
      <alignment horizontal="center" vertical="center" wrapText="1"/>
    </xf>
    <xf numFmtId="4" fontId="19" fillId="5" borderId="7" xfId="6" applyNumberFormat="1" applyFont="1" applyFill="1" applyBorder="1" applyAlignment="1">
      <alignment horizontal="right" vertical="center" wrapText="1"/>
    </xf>
    <xf numFmtId="0" fontId="11" fillId="0" borderId="0" xfId="2" applyFont="1" applyAlignment="1">
      <alignment vertical="center"/>
    </xf>
    <xf numFmtId="1" fontId="19" fillId="0" borderId="1" xfId="2" applyNumberFormat="1" applyFont="1" applyBorder="1" applyAlignment="1" applyProtection="1">
      <alignment horizontal="center" vertical="center"/>
    </xf>
    <xf numFmtId="0" fontId="11" fillId="0" borderId="0" xfId="2" applyFont="1" applyBorder="1" applyAlignment="1">
      <alignment vertical="center"/>
    </xf>
    <xf numFmtId="1" fontId="26" fillId="0" borderId="1" xfId="2" applyNumberFormat="1" applyFont="1" applyBorder="1" applyAlignment="1" applyProtection="1">
      <alignment horizontal="center" vertical="center"/>
    </xf>
    <xf numFmtId="0" fontId="23" fillId="0" borderId="36" xfId="3" applyFont="1" applyBorder="1" applyAlignment="1">
      <alignment horizontal="left" vertical="center" wrapText="1"/>
    </xf>
    <xf numFmtId="4" fontId="19" fillId="0" borderId="23" xfId="2" applyNumberFormat="1" applyFont="1" applyBorder="1" applyAlignment="1" applyProtection="1">
      <alignment horizontal="right" vertical="center"/>
    </xf>
    <xf numFmtId="4" fontId="19" fillId="0" borderId="23" xfId="2" applyNumberFormat="1" applyFont="1" applyBorder="1" applyAlignment="1" applyProtection="1">
      <alignment horizontal="right" vertical="center" wrapText="1"/>
    </xf>
    <xf numFmtId="4" fontId="19" fillId="0" borderId="24" xfId="2" applyNumberFormat="1" applyFont="1" applyBorder="1" applyAlignment="1" applyProtection="1">
      <alignment horizontal="right" vertical="center" wrapText="1"/>
    </xf>
    <xf numFmtId="0" fontId="19" fillId="0" borderId="25" xfId="2" applyFont="1" applyBorder="1" applyAlignment="1" applyProtection="1">
      <alignment horizontal="left" vertical="center" wrapText="1"/>
    </xf>
    <xf numFmtId="0" fontId="4" fillId="0" borderId="0" xfId="5" applyFont="1" applyFill="1" applyBorder="1" applyAlignment="1">
      <alignment vertical="center"/>
    </xf>
    <xf numFmtId="0" fontId="19" fillId="0" borderId="0" xfId="3" applyFont="1" applyBorder="1" applyAlignment="1">
      <alignment horizontal="left" vertical="center" wrapText="1"/>
    </xf>
    <xf numFmtId="0" fontId="31" fillId="5" borderId="1" xfId="2" applyFont="1" applyFill="1" applyBorder="1" applyAlignment="1">
      <alignment vertical="center"/>
    </xf>
    <xf numFmtId="0" fontId="19" fillId="5" borderId="4" xfId="2" applyFont="1" applyFill="1" applyBorder="1" applyAlignment="1">
      <alignment horizontal="left" vertical="center"/>
    </xf>
    <xf numFmtId="0" fontId="18" fillId="5" borderId="4" xfId="0" applyFont="1" applyFill="1" applyBorder="1" applyAlignment="1">
      <alignment horizontal="center" vertical="center" wrapText="1"/>
    </xf>
    <xf numFmtId="4" fontId="18" fillId="0" borderId="1" xfId="1" applyNumberFormat="1" applyFont="1" applyFill="1" applyBorder="1" applyAlignment="1" applyProtection="1">
      <alignment horizontal="right" vertical="center" wrapText="1"/>
    </xf>
    <xf numFmtId="4" fontId="18" fillId="0" borderId="2" xfId="1" applyNumberFormat="1" applyFont="1" applyFill="1" applyBorder="1" applyAlignment="1" applyProtection="1">
      <alignment horizontal="right" vertical="center" wrapText="1"/>
    </xf>
    <xf numFmtId="4" fontId="23" fillId="0" borderId="1" xfId="1" applyNumberFormat="1" applyFont="1" applyFill="1" applyBorder="1" applyAlignment="1" applyProtection="1">
      <alignment horizontal="right" vertical="center" wrapText="1"/>
    </xf>
    <xf numFmtId="4" fontId="23" fillId="0" borderId="2" xfId="1" applyNumberFormat="1" applyFont="1" applyFill="1" applyBorder="1" applyAlignment="1" applyProtection="1">
      <alignment horizontal="right" vertical="center" wrapText="1"/>
    </xf>
    <xf numFmtId="0" fontId="18" fillId="0" borderId="0" xfId="3" quotePrefix="1" applyFont="1" applyBorder="1" applyAlignment="1">
      <alignment horizontal="center" vertical="center" wrapText="1"/>
    </xf>
    <xf numFmtId="0" fontId="21" fillId="0" borderId="0" xfId="2" applyFont="1" applyBorder="1" applyAlignment="1">
      <alignment vertical="center"/>
    </xf>
    <xf numFmtId="0" fontId="4" fillId="5" borderId="0" xfId="2" applyFont="1" applyFill="1" applyBorder="1" applyAlignment="1">
      <alignment vertical="center"/>
    </xf>
    <xf numFmtId="0" fontId="19" fillId="5" borderId="4" xfId="3" applyFont="1" applyFill="1" applyBorder="1" applyAlignment="1">
      <alignment horizontal="left" vertical="center" wrapText="1"/>
    </xf>
    <xf numFmtId="0" fontId="18" fillId="6" borderId="10" xfId="2" applyFont="1" applyFill="1" applyBorder="1" applyAlignment="1" applyProtection="1">
      <alignment horizontal="center" vertical="center"/>
    </xf>
    <xf numFmtId="0" fontId="31" fillId="0" borderId="0" xfId="2" applyFont="1" applyFill="1" applyAlignment="1">
      <alignment vertical="center"/>
    </xf>
    <xf numFmtId="0" fontId="31" fillId="2" borderId="0" xfId="2" applyFont="1" applyFill="1" applyAlignment="1">
      <alignment vertical="center"/>
    </xf>
    <xf numFmtId="0" fontId="19" fillId="2" borderId="4" xfId="0" applyFont="1" applyFill="1" applyBorder="1" applyAlignment="1">
      <alignment horizontal="center" vertical="center" wrapText="1"/>
    </xf>
    <xf numFmtId="0" fontId="19" fillId="2" borderId="15" xfId="2" applyFont="1" applyFill="1" applyBorder="1" applyAlignment="1" applyProtection="1">
      <alignment horizontal="center" vertical="center"/>
    </xf>
    <xf numFmtId="0" fontId="7" fillId="0" borderId="0" xfId="2" applyFont="1" applyAlignment="1">
      <alignment vertical="center"/>
    </xf>
    <xf numFmtId="0" fontId="18" fillId="0" borderId="12" xfId="3" applyFont="1" applyBorder="1" applyAlignment="1">
      <alignment horizontal="left" vertical="center" wrapText="1"/>
    </xf>
    <xf numFmtId="49" fontId="23" fillId="0" borderId="12" xfId="3" applyNumberFormat="1" applyFont="1" applyBorder="1" applyAlignment="1">
      <alignment horizontal="center" vertical="center" wrapText="1"/>
    </xf>
    <xf numFmtId="1" fontId="23" fillId="0" borderId="7" xfId="2" applyNumberFormat="1" applyFont="1" applyBorder="1" applyAlignment="1" applyProtection="1">
      <alignment horizontal="center" vertical="center"/>
    </xf>
    <xf numFmtId="4" fontId="23" fillId="0" borderId="9" xfId="2" applyNumberFormat="1" applyFont="1" applyBorder="1" applyAlignment="1" applyProtection="1">
      <alignment horizontal="right" vertical="center" wrapText="1"/>
    </xf>
    <xf numFmtId="0" fontId="18" fillId="0" borderId="11" xfId="3" applyFont="1" applyBorder="1" applyAlignment="1">
      <alignment horizontal="left" vertical="center" wrapText="1"/>
    </xf>
    <xf numFmtId="49" fontId="23" fillId="0" borderId="11" xfId="3" applyNumberFormat="1" applyFont="1" applyBorder="1" applyAlignment="1">
      <alignment horizontal="center" vertical="center" wrapText="1"/>
    </xf>
    <xf numFmtId="1" fontId="23" fillId="0" borderId="9" xfId="2" applyNumberFormat="1" applyFont="1" applyBorder="1" applyAlignment="1" applyProtection="1">
      <alignment horizontal="center" vertical="center"/>
    </xf>
    <xf numFmtId="0" fontId="32" fillId="0" borderId="0" xfId="2" applyFont="1" applyAlignment="1">
      <alignment vertical="center"/>
    </xf>
    <xf numFmtId="0" fontId="19" fillId="5" borderId="11" xfId="0" applyFont="1" applyFill="1" applyBorder="1" applyAlignment="1">
      <alignment vertical="center" wrapText="1"/>
    </xf>
    <xf numFmtId="1" fontId="19" fillId="5" borderId="1" xfId="6" applyNumberFormat="1" applyFont="1" applyFill="1" applyBorder="1" applyAlignment="1">
      <alignment horizontal="center" vertical="center" wrapText="1"/>
    </xf>
    <xf numFmtId="4" fontId="19" fillId="2" borderId="13" xfId="2" applyNumberFormat="1" applyFont="1" applyFill="1" applyBorder="1" applyAlignment="1" applyProtection="1">
      <alignment horizontal="right" vertical="center" wrapText="1"/>
    </xf>
    <xf numFmtId="49" fontId="23" fillId="2" borderId="4" xfId="3" applyNumberFormat="1" applyFont="1" applyFill="1" applyBorder="1" applyAlignment="1">
      <alignment horizontal="center" vertical="center" wrapText="1"/>
    </xf>
    <xf numFmtId="1" fontId="5" fillId="2" borderId="4" xfId="2" applyNumberFormat="1" applyFont="1" applyFill="1" applyBorder="1" applyAlignment="1" applyProtection="1">
      <alignment horizontal="center" vertical="center"/>
    </xf>
    <xf numFmtId="1" fontId="19" fillId="2" borderId="13" xfId="2" applyNumberFormat="1" applyFont="1" applyFill="1" applyBorder="1" applyAlignment="1" applyProtection="1">
      <alignment horizontal="center" vertical="center"/>
    </xf>
    <xf numFmtId="0" fontId="7" fillId="0" borderId="0" xfId="2" applyFont="1" applyFill="1" applyAlignment="1">
      <alignment vertical="center"/>
    </xf>
    <xf numFmtId="4" fontId="18" fillId="0" borderId="9" xfId="3" applyNumberFormat="1" applyFont="1" applyFill="1" applyBorder="1" applyAlignment="1">
      <alignment horizontal="right" vertical="center" wrapText="1"/>
    </xf>
    <xf numFmtId="0" fontId="18" fillId="0" borderId="11" xfId="0" applyFont="1" applyFill="1" applyBorder="1" applyAlignment="1">
      <alignment vertical="center" wrapText="1"/>
    </xf>
    <xf numFmtId="0" fontId="18" fillId="0" borderId="11" xfId="3" applyFont="1" applyFill="1" applyBorder="1" applyAlignment="1">
      <alignment horizontal="center" vertical="center" wrapText="1"/>
    </xf>
    <xf numFmtId="1" fontId="5" fillId="0" borderId="11" xfId="2" applyNumberFormat="1" applyFont="1" applyFill="1" applyBorder="1" applyAlignment="1" applyProtection="1">
      <alignment horizontal="center" vertical="center"/>
    </xf>
    <xf numFmtId="1" fontId="23" fillId="0" borderId="9" xfId="2" applyNumberFormat="1" applyFont="1" applyFill="1" applyBorder="1" applyAlignment="1" applyProtection="1">
      <alignment horizontal="left" vertical="center"/>
    </xf>
    <xf numFmtId="4" fontId="19" fillId="5" borderId="1" xfId="6" applyNumberFormat="1" applyFont="1" applyFill="1" applyBorder="1" applyAlignment="1">
      <alignment horizontal="right" vertical="center" wrapText="1"/>
    </xf>
    <xf numFmtId="4" fontId="18" fillId="0" borderId="1" xfId="5" applyNumberFormat="1" applyFont="1" applyBorder="1" applyAlignment="1">
      <alignment horizontal="right" vertical="center" wrapText="1"/>
    </xf>
    <xf numFmtId="4" fontId="18" fillId="0" borderId="2" xfId="5" applyNumberFormat="1" applyFont="1" applyBorder="1" applyAlignment="1">
      <alignment horizontal="right" vertical="center" wrapText="1"/>
    </xf>
    <xf numFmtId="0" fontId="23" fillId="0" borderId="0" xfId="5" applyFont="1" applyBorder="1" applyAlignment="1">
      <alignment horizontal="left" vertical="center" wrapText="1"/>
    </xf>
    <xf numFmtId="0" fontId="23" fillId="0" borderId="0" xfId="0" applyFont="1" applyFill="1" applyBorder="1" applyAlignment="1">
      <alignment horizontal="left" vertical="center" wrapText="1"/>
    </xf>
    <xf numFmtId="0" fontId="23" fillId="0" borderId="36" xfId="0" applyFont="1" applyFill="1" applyBorder="1" applyAlignment="1">
      <alignment horizontal="left" vertical="center" wrapText="1"/>
    </xf>
    <xf numFmtId="49" fontId="23" fillId="0" borderId="0" xfId="3" applyNumberFormat="1" applyFont="1" applyBorder="1" applyAlignment="1">
      <alignment horizontal="center" vertical="center" wrapText="1"/>
    </xf>
    <xf numFmtId="0" fontId="23" fillId="0" borderId="0" xfId="0" applyFont="1" applyFill="1" applyBorder="1" applyAlignment="1">
      <alignment vertical="center" wrapText="1"/>
    </xf>
    <xf numFmtId="1" fontId="23" fillId="0" borderId="1" xfId="2" applyNumberFormat="1" applyFont="1" applyFill="1" applyBorder="1" applyAlignment="1" applyProtection="1">
      <alignment horizontal="left" vertical="center"/>
    </xf>
    <xf numFmtId="0" fontId="18" fillId="0" borderId="18" xfId="0" applyFont="1" applyBorder="1" applyAlignment="1" applyProtection="1">
      <alignment horizontal="center" vertical="center"/>
    </xf>
    <xf numFmtId="1" fontId="5" fillId="0" borderId="17" xfId="0" applyNumberFormat="1" applyFont="1" applyBorder="1" applyAlignment="1" applyProtection="1">
      <alignment horizontal="center" vertical="center"/>
    </xf>
    <xf numFmtId="0" fontId="23" fillId="0" borderId="0" xfId="3" applyFont="1" applyFill="1" applyBorder="1" applyAlignment="1">
      <alignment horizontal="center" vertical="center" wrapText="1"/>
    </xf>
    <xf numFmtId="1" fontId="5" fillId="0" borderId="0" xfId="2" applyNumberFormat="1" applyFont="1" applyFill="1" applyBorder="1" applyAlignment="1" applyProtection="1">
      <alignment horizontal="center" vertical="center"/>
    </xf>
    <xf numFmtId="0" fontId="19" fillId="0" borderId="11" xfId="0" applyFont="1" applyFill="1" applyBorder="1" applyAlignment="1">
      <alignment vertical="center" wrapText="1"/>
    </xf>
    <xf numFmtId="0" fontId="18" fillId="0" borderId="11" xfId="3" applyFont="1" applyBorder="1" applyAlignment="1">
      <alignment horizontal="center" vertical="center" wrapText="1"/>
    </xf>
    <xf numFmtId="0" fontId="25" fillId="0" borderId="0" xfId="2" applyFont="1" applyAlignment="1">
      <alignment vertical="center"/>
    </xf>
    <xf numFmtId="4" fontId="26" fillId="0" borderId="16" xfId="3" applyNumberFormat="1" applyFont="1" applyBorder="1" applyAlignment="1">
      <alignment horizontal="right" vertical="center" wrapText="1"/>
    </xf>
    <xf numFmtId="4" fontId="18" fillId="0" borderId="16" xfId="3" applyNumberFormat="1" applyFont="1" applyBorder="1" applyAlignment="1" applyProtection="1">
      <alignment horizontal="right" vertical="center" wrapText="1"/>
      <protection locked="0"/>
    </xf>
    <xf numFmtId="0" fontId="24" fillId="0" borderId="0" xfId="5" applyFont="1" applyAlignment="1">
      <alignment vertical="center"/>
    </xf>
    <xf numFmtId="0" fontId="37" fillId="0" borderId="0" xfId="3" applyFont="1" applyBorder="1" applyAlignment="1">
      <alignment horizontal="left" vertical="center" wrapText="1"/>
    </xf>
    <xf numFmtId="1" fontId="24" fillId="0" borderId="0" xfId="3" applyNumberFormat="1" applyFont="1" applyBorder="1" applyAlignment="1">
      <alignment horizontal="center" vertical="center" wrapText="1"/>
    </xf>
    <xf numFmtId="4" fontId="23" fillId="0" borderId="2" xfId="3" applyNumberFormat="1" applyFont="1" applyBorder="1" applyAlignment="1">
      <alignment horizontal="right" vertical="center" wrapText="1"/>
    </xf>
    <xf numFmtId="0" fontId="18" fillId="0" borderId="0" xfId="3" applyFont="1" applyFill="1" applyBorder="1" applyAlignment="1">
      <alignment horizontal="left" vertical="center" wrapText="1"/>
    </xf>
    <xf numFmtId="0" fontId="18" fillId="0" borderId="11" xfId="0" applyFont="1" applyBorder="1" applyAlignment="1">
      <alignment vertical="center" wrapText="1"/>
    </xf>
    <xf numFmtId="4" fontId="18" fillId="0" borderId="23" xfId="2" applyNumberFormat="1" applyFont="1" applyBorder="1" applyAlignment="1" applyProtection="1">
      <alignment horizontal="right" vertical="center" wrapText="1"/>
    </xf>
    <xf numFmtId="0" fontId="38" fillId="0" borderId="25" xfId="0" applyFont="1" applyBorder="1" applyAlignment="1">
      <alignment horizontal="left" vertical="center" wrapText="1"/>
    </xf>
    <xf numFmtId="0" fontId="19" fillId="6" borderId="10" xfId="6" applyFont="1" applyFill="1" applyBorder="1" applyAlignment="1">
      <alignment horizontal="center" vertical="center" wrapText="1"/>
    </xf>
    <xf numFmtId="0" fontId="4" fillId="0" borderId="1" xfId="2" applyFont="1" applyBorder="1" applyAlignment="1">
      <alignment vertical="center"/>
    </xf>
    <xf numFmtId="0" fontId="4" fillId="0" borderId="36" xfId="2" applyFont="1" applyBorder="1" applyAlignment="1">
      <alignment vertical="center"/>
    </xf>
    <xf numFmtId="0" fontId="35" fillId="0" borderId="0" xfId="2" applyFont="1" applyAlignment="1">
      <alignment vertical="center"/>
    </xf>
    <xf numFmtId="0" fontId="39" fillId="0" borderId="25" xfId="0" applyFont="1" applyBorder="1" applyAlignment="1">
      <alignment horizontal="justify" vertical="center" wrapText="1"/>
    </xf>
    <xf numFmtId="0" fontId="38" fillId="0" borderId="25" xfId="0" applyFont="1" applyBorder="1" applyAlignment="1">
      <alignment horizontal="justify" vertical="center" wrapText="1"/>
    </xf>
    <xf numFmtId="0" fontId="23" fillId="0" borderId="25" xfId="3" applyFont="1" applyFill="1" applyBorder="1" applyAlignment="1">
      <alignment horizontal="center" vertical="center" wrapText="1"/>
    </xf>
    <xf numFmtId="0" fontId="32" fillId="0" borderId="0" xfId="2" applyFont="1" applyBorder="1" applyAlignment="1">
      <alignment vertical="center"/>
    </xf>
    <xf numFmtId="0" fontId="40" fillId="0" borderId="0" xfId="0" applyFont="1" applyBorder="1" applyAlignment="1">
      <alignment horizontal="left" vertical="center" wrapText="1"/>
    </xf>
    <xf numFmtId="0" fontId="22" fillId="0" borderId="0" xfId="2" applyFont="1" applyAlignment="1">
      <alignment vertical="center"/>
    </xf>
    <xf numFmtId="4" fontId="19" fillId="0" borderId="31" xfId="3" applyNumberFormat="1" applyFont="1" applyBorder="1" applyAlignment="1">
      <alignment horizontal="right" vertical="center" wrapText="1"/>
    </xf>
    <xf numFmtId="0" fontId="39" fillId="0" borderId="33" xfId="0" applyFont="1" applyBorder="1" applyAlignment="1">
      <alignment horizontal="justify" vertical="center" wrapText="1"/>
    </xf>
    <xf numFmtId="1" fontId="5" fillId="0" borderId="33" xfId="2" applyNumberFormat="1" applyFont="1" applyBorder="1" applyAlignment="1" applyProtection="1">
      <alignment horizontal="center" vertical="center"/>
    </xf>
    <xf numFmtId="0" fontId="4" fillId="0" borderId="0" xfId="2" applyFont="1" applyAlignment="1">
      <alignment horizontal="left" vertical="center"/>
    </xf>
    <xf numFmtId="0" fontId="4" fillId="0" borderId="12" xfId="2" applyFont="1" applyBorder="1" applyAlignment="1" applyProtection="1">
      <alignment horizontal="center" vertical="center"/>
    </xf>
    <xf numFmtId="1" fontId="5" fillId="0" borderId="12" xfId="2" applyNumberFormat="1" applyFont="1" applyBorder="1" applyAlignment="1" applyProtection="1">
      <alignment horizontal="center" vertical="center"/>
    </xf>
    <xf numFmtId="1" fontId="4" fillId="0" borderId="7" xfId="2" applyNumberFormat="1" applyFont="1" applyBorder="1" applyAlignment="1" applyProtection="1">
      <alignment horizontal="center" vertical="center" wrapText="1"/>
    </xf>
    <xf numFmtId="0" fontId="4" fillId="0" borderId="11" xfId="2" applyFont="1" applyBorder="1" applyAlignment="1" applyProtection="1">
      <alignment horizontal="center" vertical="center"/>
    </xf>
    <xf numFmtId="1" fontId="4" fillId="0" borderId="9" xfId="2" applyNumberFormat="1" applyFont="1" applyBorder="1" applyAlignment="1" applyProtection="1">
      <alignment horizontal="center" vertical="center"/>
    </xf>
    <xf numFmtId="4" fontId="19" fillId="6" borderId="23" xfId="6" applyNumberFormat="1" applyFont="1" applyFill="1" applyBorder="1" applyAlignment="1">
      <alignment horizontal="right" vertical="center" wrapText="1"/>
    </xf>
    <xf numFmtId="4" fontId="18" fillId="0" borderId="0" xfId="5" applyNumberFormat="1" applyFont="1" applyAlignment="1">
      <alignment horizontal="right" vertical="center"/>
    </xf>
    <xf numFmtId="1" fontId="5" fillId="0" borderId="24" xfId="2" applyNumberFormat="1" applyFont="1" applyBorder="1" applyAlignment="1" applyProtection="1">
      <alignment horizontal="center" vertical="center"/>
    </xf>
    <xf numFmtId="4" fontId="19" fillId="5" borderId="43" xfId="6" applyNumberFormat="1" applyFont="1" applyFill="1" applyBorder="1" applyAlignment="1">
      <alignment horizontal="left" vertical="center" wrapText="1"/>
    </xf>
    <xf numFmtId="4" fontId="19" fillId="0" borderId="9" xfId="3" applyNumberFormat="1" applyFont="1" applyBorder="1" applyAlignment="1">
      <alignment horizontal="right" vertical="center" wrapText="1"/>
    </xf>
    <xf numFmtId="0" fontId="26" fillId="0" borderId="41" xfId="2" applyFont="1" applyBorder="1" applyAlignment="1" applyProtection="1">
      <alignment horizontal="center" vertical="center"/>
    </xf>
    <xf numFmtId="0" fontId="18" fillId="0" borderId="41" xfId="2" applyFont="1" applyBorder="1" applyAlignment="1" applyProtection="1">
      <alignment horizontal="center" vertical="center"/>
    </xf>
    <xf numFmtId="1" fontId="18" fillId="0" borderId="42" xfId="2" applyNumberFormat="1" applyFont="1" applyBorder="1" applyAlignment="1" applyProtection="1">
      <alignment horizontal="center" vertical="center"/>
    </xf>
    <xf numFmtId="0" fontId="23" fillId="0" borderId="41" xfId="2" applyFont="1" applyBorder="1" applyAlignment="1" applyProtection="1">
      <alignment horizontal="center" vertical="center"/>
    </xf>
    <xf numFmtId="1" fontId="23" fillId="0" borderId="42" xfId="2" applyNumberFormat="1" applyFont="1" applyBorder="1" applyAlignment="1" applyProtection="1">
      <alignment horizontal="left" vertical="center"/>
    </xf>
    <xf numFmtId="1" fontId="26" fillId="0" borderId="42" xfId="2" applyNumberFormat="1" applyFont="1" applyBorder="1" applyAlignment="1" applyProtection="1">
      <alignment horizontal="left" vertical="center"/>
    </xf>
    <xf numFmtId="1" fontId="5" fillId="0" borderId="41" xfId="6" applyNumberFormat="1" applyFont="1" applyFill="1" applyBorder="1" applyAlignment="1">
      <alignment horizontal="center" vertical="center" wrapText="1"/>
    </xf>
    <xf numFmtId="4" fontId="19" fillId="0" borderId="41" xfId="6" applyNumberFormat="1" applyFont="1" applyFill="1" applyBorder="1" applyAlignment="1">
      <alignment horizontal="right" vertical="center" wrapText="1"/>
    </xf>
    <xf numFmtId="0" fontId="18" fillId="0" borderId="41" xfId="2" applyFont="1" applyBorder="1" applyAlignment="1" applyProtection="1">
      <alignment horizontal="left" vertical="center"/>
    </xf>
    <xf numFmtId="1" fontId="18" fillId="0" borderId="42" xfId="2" applyNumberFormat="1" applyFont="1" applyBorder="1" applyAlignment="1" applyProtection="1">
      <alignment horizontal="left" vertical="center"/>
    </xf>
    <xf numFmtId="0" fontId="4" fillId="0" borderId="25" xfId="2" applyFont="1" applyBorder="1" applyAlignment="1">
      <alignment horizontal="center" vertical="center"/>
    </xf>
    <xf numFmtId="0" fontId="18" fillId="0" borderId="25" xfId="3" applyFont="1" applyBorder="1" applyAlignment="1">
      <alignment horizontal="left" vertical="center" wrapText="1"/>
    </xf>
    <xf numFmtId="4" fontId="18" fillId="0" borderId="41" xfId="5" applyNumberFormat="1" applyFont="1" applyFill="1" applyBorder="1" applyAlignment="1" applyProtection="1">
      <alignment horizontal="center" vertical="center"/>
    </xf>
    <xf numFmtId="1" fontId="18" fillId="0" borderId="1" xfId="3" applyNumberFormat="1" applyFont="1" applyBorder="1" applyAlignment="1">
      <alignment vertical="center" wrapText="1"/>
    </xf>
    <xf numFmtId="4" fontId="18" fillId="0" borderId="25" xfId="3" applyNumberFormat="1" applyFont="1" applyBorder="1" applyAlignment="1">
      <alignment vertical="center" wrapText="1"/>
    </xf>
    <xf numFmtId="4" fontId="18" fillId="0" borderId="34" xfId="3" applyNumberFormat="1" applyFont="1" applyFill="1" applyBorder="1" applyAlignment="1">
      <alignment vertical="center" wrapText="1"/>
    </xf>
    <xf numFmtId="1" fontId="1" fillId="0" borderId="2" xfId="2" applyNumberFormat="1" applyFont="1" applyBorder="1" applyAlignment="1" applyProtection="1">
      <alignment vertical="center"/>
    </xf>
    <xf numFmtId="0" fontId="18" fillId="0" borderId="25" xfId="2" applyFont="1" applyBorder="1" applyAlignment="1" applyProtection="1">
      <alignment vertical="center" wrapText="1"/>
    </xf>
    <xf numFmtId="0" fontId="1" fillId="0" borderId="0" xfId="2" applyFont="1" applyAlignment="1">
      <alignment vertical="center"/>
    </xf>
    <xf numFmtId="0" fontId="23" fillId="0" borderId="41" xfId="2" applyFont="1" applyFill="1" applyBorder="1" applyAlignment="1" applyProtection="1">
      <alignment horizontal="center" vertical="center"/>
    </xf>
    <xf numFmtId="1" fontId="23" fillId="0" borderId="42" xfId="2" applyNumberFormat="1" applyFont="1" applyFill="1" applyBorder="1" applyAlignment="1" applyProtection="1">
      <alignment horizontal="left" vertical="center"/>
    </xf>
    <xf numFmtId="4" fontId="19" fillId="5" borderId="15" xfId="6" applyNumberFormat="1" applyFont="1" applyFill="1" applyBorder="1" applyAlignment="1">
      <alignment horizontal="right" vertical="center" wrapText="1"/>
    </xf>
    <xf numFmtId="0" fontId="4" fillId="0" borderId="0" xfId="2" applyFont="1" applyBorder="1" applyAlignment="1">
      <alignment vertical="center"/>
    </xf>
    <xf numFmtId="0" fontId="18" fillId="0" borderId="0" xfId="3" applyFont="1" applyBorder="1" applyAlignment="1">
      <alignment horizontal="center" vertical="center" wrapText="1"/>
    </xf>
    <xf numFmtId="4" fontId="18" fillId="0" borderId="42" xfId="3" applyNumberFormat="1" applyFont="1" applyBorder="1" applyAlignment="1">
      <alignment horizontal="right" vertical="center" wrapText="1"/>
    </xf>
    <xf numFmtId="4" fontId="18" fillId="0" borderId="31" xfId="3" applyNumberFormat="1" applyFont="1" applyBorder="1" applyAlignment="1">
      <alignment horizontal="right" vertical="center" wrapText="1"/>
    </xf>
    <xf numFmtId="4" fontId="18" fillId="0" borderId="32" xfId="3" applyNumberFormat="1" applyFont="1" applyBorder="1" applyAlignment="1">
      <alignment horizontal="right" vertical="center" wrapText="1"/>
    </xf>
    <xf numFmtId="0" fontId="23" fillId="0" borderId="0" xfId="2" applyFont="1" applyBorder="1" applyAlignment="1" applyProtection="1">
      <alignment horizontal="left" vertical="center" wrapText="1"/>
    </xf>
    <xf numFmtId="4" fontId="23" fillId="0" borderId="42" xfId="3" applyNumberFormat="1" applyFont="1" applyBorder="1" applyAlignment="1">
      <alignment horizontal="right" vertical="center" wrapText="1"/>
    </xf>
    <xf numFmtId="0" fontId="23" fillId="0" borderId="0" xfId="3" applyFont="1" applyBorder="1" applyAlignment="1">
      <alignment horizontal="left" vertical="center" wrapText="1"/>
    </xf>
    <xf numFmtId="4" fontId="18" fillId="0" borderId="9" xfId="3" applyNumberFormat="1" applyFont="1" applyBorder="1" applyAlignment="1">
      <alignment horizontal="right" vertical="center" wrapText="1"/>
    </xf>
    <xf numFmtId="1" fontId="19" fillId="0" borderId="42" xfId="6" applyNumberFormat="1" applyFont="1" applyFill="1" applyBorder="1" applyAlignment="1">
      <alignment horizontal="center" vertical="center" wrapText="1"/>
    </xf>
    <xf numFmtId="4" fontId="19" fillId="0" borderId="42" xfId="6" applyNumberFormat="1" applyFont="1" applyFill="1" applyBorder="1" applyAlignment="1">
      <alignment horizontal="right" vertical="center" wrapText="1"/>
    </xf>
    <xf numFmtId="4" fontId="18" fillId="0" borderId="42" xfId="6" applyNumberFormat="1" applyFont="1" applyFill="1" applyBorder="1" applyAlignment="1">
      <alignment horizontal="right" vertical="center" wrapText="1"/>
    </xf>
    <xf numFmtId="1" fontId="19" fillId="0" borderId="42" xfId="5" applyNumberFormat="1" applyFont="1" applyBorder="1" applyAlignment="1" applyProtection="1">
      <alignment horizontal="center" vertical="center" wrapText="1"/>
    </xf>
    <xf numFmtId="0" fontId="23" fillId="0" borderId="41" xfId="5" applyFont="1" applyBorder="1" applyAlignment="1" applyProtection="1">
      <alignment horizontal="center" vertical="center"/>
    </xf>
    <xf numFmtId="0" fontId="18" fillId="0" borderId="0" xfId="6" applyFont="1" applyFill="1" applyBorder="1" applyAlignment="1">
      <alignment horizontal="center" vertical="center" wrapText="1"/>
    </xf>
    <xf numFmtId="0" fontId="7" fillId="0" borderId="0" xfId="2" applyFont="1" applyFill="1" applyBorder="1" applyAlignment="1">
      <alignment vertical="center"/>
    </xf>
    <xf numFmtId="0" fontId="7" fillId="0" borderId="0" xfId="2" applyFont="1" applyBorder="1" applyAlignment="1">
      <alignment vertical="center"/>
    </xf>
    <xf numFmtId="4" fontId="19" fillId="0" borderId="42" xfId="3" applyNumberFormat="1" applyFont="1" applyBorder="1" applyAlignment="1">
      <alignment horizontal="right" vertical="center" wrapText="1"/>
    </xf>
    <xf numFmtId="4" fontId="18" fillId="0" borderId="41" xfId="5" applyNumberFormat="1" applyFont="1" applyBorder="1" applyAlignment="1" applyProtection="1">
      <alignment horizontal="center" vertical="center"/>
    </xf>
    <xf numFmtId="4" fontId="4" fillId="0" borderId="0" xfId="5" applyNumberFormat="1" applyFont="1" applyAlignment="1">
      <alignment vertical="center"/>
    </xf>
    <xf numFmtId="4" fontId="21" fillId="0" borderId="0" xfId="5" applyNumberFormat="1" applyFont="1" applyAlignment="1">
      <alignment vertical="center"/>
    </xf>
    <xf numFmtId="4" fontId="19" fillId="0" borderId="9" xfId="6" applyNumberFormat="1" applyFont="1" applyFill="1" applyBorder="1" applyAlignment="1">
      <alignment horizontal="right" vertical="center" wrapText="1"/>
    </xf>
    <xf numFmtId="0" fontId="19" fillId="0" borderId="41" xfId="5" applyFont="1" applyBorder="1" applyAlignment="1" applyProtection="1">
      <alignment horizontal="center" vertical="center"/>
    </xf>
    <xf numFmtId="0" fontId="21" fillId="0" borderId="0" xfId="5" applyFont="1" applyAlignment="1">
      <alignment vertical="center"/>
    </xf>
    <xf numFmtId="0" fontId="22" fillId="0" borderId="0" xfId="5" applyFont="1" applyAlignment="1">
      <alignment vertical="center"/>
    </xf>
    <xf numFmtId="0" fontId="23" fillId="0" borderId="0" xfId="6" applyFont="1" applyFill="1" applyBorder="1" applyAlignment="1">
      <alignment horizontal="left" vertical="center" wrapText="1"/>
    </xf>
    <xf numFmtId="1" fontId="23" fillId="0" borderId="42" xfId="6" applyNumberFormat="1" applyFont="1" applyFill="1" applyBorder="1" applyAlignment="1">
      <alignment horizontal="center" vertical="center" wrapText="1"/>
    </xf>
    <xf numFmtId="0" fontId="23" fillId="0" borderId="0" xfId="6" applyFont="1" applyFill="1" applyBorder="1" applyAlignment="1">
      <alignment horizontal="center" vertical="center" wrapText="1"/>
    </xf>
    <xf numFmtId="4" fontId="23" fillId="0" borderId="42" xfId="6" applyNumberFormat="1" applyFont="1" applyFill="1" applyBorder="1" applyAlignment="1">
      <alignment horizontal="right" vertical="center" wrapText="1"/>
    </xf>
    <xf numFmtId="0" fontId="32" fillId="0" borderId="0" xfId="5" applyFont="1" applyAlignment="1">
      <alignment vertical="center"/>
    </xf>
    <xf numFmtId="4" fontId="22" fillId="0" borderId="0" xfId="5" applyNumberFormat="1" applyFont="1" applyBorder="1" applyAlignment="1">
      <alignment vertical="center"/>
    </xf>
    <xf numFmtId="4" fontId="21" fillId="0" borderId="0" xfId="5" applyNumberFormat="1" applyFont="1" applyBorder="1" applyAlignment="1">
      <alignment vertical="center"/>
    </xf>
    <xf numFmtId="4" fontId="18" fillId="0" borderId="0" xfId="6" applyNumberFormat="1" applyFont="1" applyFill="1" applyBorder="1" applyAlignment="1">
      <alignment horizontal="center" vertical="center" wrapText="1"/>
    </xf>
    <xf numFmtId="4" fontId="18" fillId="0" borderId="0" xfId="3" applyNumberFormat="1" applyFont="1" applyBorder="1" applyAlignment="1">
      <alignment horizontal="center" vertical="center" wrapText="1"/>
    </xf>
    <xf numFmtId="4" fontId="18" fillId="0" borderId="11" xfId="3" applyNumberFormat="1" applyFont="1" applyBorder="1" applyAlignment="1">
      <alignment horizontal="center" vertical="center" wrapText="1"/>
    </xf>
    <xf numFmtId="4" fontId="18" fillId="0" borderId="11" xfId="3" applyNumberFormat="1" applyFont="1" applyBorder="1" applyAlignment="1">
      <alignment horizontal="left" vertical="center" wrapText="1"/>
    </xf>
    <xf numFmtId="4" fontId="18" fillId="0" borderId="10" xfId="3" applyNumberFormat="1" applyFont="1" applyBorder="1" applyAlignment="1">
      <alignment horizontal="right" vertical="center" wrapText="1"/>
    </xf>
    <xf numFmtId="1" fontId="5" fillId="0" borderId="0" xfId="3" applyNumberFormat="1" applyFont="1" applyBorder="1" applyAlignment="1">
      <alignment horizontal="center" vertical="center" wrapText="1"/>
    </xf>
    <xf numFmtId="1" fontId="5" fillId="0" borderId="11" xfId="3" applyNumberFormat="1" applyFont="1" applyBorder="1" applyAlignment="1">
      <alignment horizontal="center" vertical="center" wrapText="1"/>
    </xf>
    <xf numFmtId="1" fontId="24" fillId="0" borderId="0" xfId="6" applyNumberFormat="1" applyFont="1" applyFill="1" applyBorder="1" applyAlignment="1">
      <alignment horizontal="center" vertical="center" wrapText="1"/>
    </xf>
    <xf numFmtId="0" fontId="23" fillId="0" borderId="0" xfId="3" quotePrefix="1" applyFont="1" applyBorder="1" applyAlignment="1">
      <alignment horizontal="left" vertical="center" wrapText="1"/>
    </xf>
    <xf numFmtId="4" fontId="18" fillId="0" borderId="23" xfId="3" applyNumberFormat="1" applyFont="1" applyBorder="1" applyAlignment="1">
      <alignment horizontal="right" vertical="center" wrapText="1"/>
    </xf>
    <xf numFmtId="4" fontId="19" fillId="0" borderId="23" xfId="3" applyNumberFormat="1" applyFont="1" applyBorder="1" applyAlignment="1">
      <alignment horizontal="right" vertical="center" wrapText="1"/>
    </xf>
    <xf numFmtId="1" fontId="5" fillId="0" borderId="24" xfId="6" applyNumberFormat="1" applyFont="1" applyFill="1" applyBorder="1" applyAlignment="1">
      <alignment horizontal="center" vertical="center" wrapText="1"/>
    </xf>
    <xf numFmtId="0" fontId="18" fillId="0" borderId="25" xfId="6" applyFont="1" applyFill="1" applyBorder="1" applyAlignment="1">
      <alignment horizontal="center" vertical="center" wrapText="1"/>
    </xf>
    <xf numFmtId="4" fontId="19" fillId="0" borderId="23" xfId="6" applyNumberFormat="1" applyFont="1" applyFill="1" applyBorder="1" applyAlignment="1">
      <alignment horizontal="right" vertical="center" wrapText="1"/>
    </xf>
    <xf numFmtId="1" fontId="5" fillId="0" borderId="41" xfId="3" applyNumberFormat="1" applyFont="1" applyBorder="1" applyAlignment="1">
      <alignment horizontal="center" vertical="center" wrapText="1"/>
    </xf>
    <xf numFmtId="0" fontId="18" fillId="0" borderId="25" xfId="6" applyFont="1" applyFill="1" applyBorder="1" applyAlignment="1">
      <alignment horizontal="left" vertical="center" wrapText="1"/>
    </xf>
    <xf numFmtId="4" fontId="5" fillId="0" borderId="0" xfId="3" applyNumberFormat="1" applyFont="1" applyBorder="1" applyAlignment="1">
      <alignment horizontal="center" vertical="center" wrapText="1"/>
    </xf>
    <xf numFmtId="0" fontId="23" fillId="0" borderId="0" xfId="3" quotePrefix="1" applyFont="1" applyBorder="1" applyAlignment="1">
      <alignment horizontal="center" vertical="center" wrapText="1"/>
    </xf>
    <xf numFmtId="4" fontId="19" fillId="0" borderId="16" xfId="3" applyNumberFormat="1" applyFont="1" applyBorder="1" applyAlignment="1">
      <alignment horizontal="right" vertical="center" wrapText="1"/>
    </xf>
    <xf numFmtId="0" fontId="19" fillId="0" borderId="25" xfId="6" applyFont="1" applyFill="1" applyBorder="1" applyAlignment="1">
      <alignment horizontal="left" vertical="center" wrapText="1"/>
    </xf>
    <xf numFmtId="4" fontId="23" fillId="0" borderId="0" xfId="3" quotePrefix="1" applyNumberFormat="1" applyFont="1" applyFill="1" applyBorder="1" applyAlignment="1">
      <alignment horizontal="left" vertical="center" wrapText="1"/>
    </xf>
    <xf numFmtId="4" fontId="18" fillId="0" borderId="25" xfId="3" applyNumberFormat="1" applyFont="1" applyBorder="1" applyAlignment="1">
      <alignment horizontal="center" vertical="center" wrapText="1"/>
    </xf>
    <xf numFmtId="4" fontId="18" fillId="0" borderId="25" xfId="3" applyNumberFormat="1" applyFont="1" applyBorder="1" applyAlignment="1">
      <alignment horizontal="left" vertical="center" wrapText="1"/>
    </xf>
    <xf numFmtId="1" fontId="18" fillId="0" borderId="9" xfId="5" applyNumberFormat="1" applyFont="1" applyBorder="1" applyAlignment="1" applyProtection="1">
      <alignment horizontal="center" vertical="center" wrapText="1"/>
    </xf>
    <xf numFmtId="4" fontId="18" fillId="0" borderId="0" xfId="3" applyNumberFormat="1" applyFont="1" applyBorder="1" applyAlignment="1">
      <alignment horizontal="right" vertical="center" wrapText="1"/>
    </xf>
    <xf numFmtId="1" fontId="5" fillId="0" borderId="25" xfId="3" applyNumberFormat="1" applyFont="1" applyBorder="1" applyAlignment="1">
      <alignment horizontal="center" vertical="center" wrapText="1"/>
    </xf>
    <xf numFmtId="4" fontId="18" fillId="0" borderId="25" xfId="3" applyNumberFormat="1" applyFont="1" applyBorder="1" applyAlignment="1">
      <alignment horizontal="right" vertical="center" wrapText="1"/>
    </xf>
    <xf numFmtId="4" fontId="19" fillId="0" borderId="25" xfId="3" applyNumberFormat="1" applyFont="1" applyBorder="1" applyAlignment="1">
      <alignment horizontal="right" vertical="center" wrapText="1"/>
    </xf>
    <xf numFmtId="1" fontId="18" fillId="0" borderId="42" xfId="6" applyNumberFormat="1" applyFont="1" applyFill="1" applyBorder="1" applyAlignment="1">
      <alignment horizontal="center" vertical="center" wrapText="1"/>
    </xf>
    <xf numFmtId="1" fontId="19" fillId="5" borderId="9" xfId="6" applyNumberFormat="1" applyFont="1" applyFill="1" applyBorder="1" applyAlignment="1">
      <alignment horizontal="center" vertical="center" wrapText="1"/>
    </xf>
    <xf numFmtId="0" fontId="18" fillId="0" borderId="41" xfId="2" applyFont="1" applyFill="1" applyBorder="1" applyAlignment="1" applyProtection="1">
      <alignment horizontal="center" vertical="center"/>
    </xf>
    <xf numFmtId="4" fontId="19" fillId="5" borderId="9" xfId="6" applyNumberFormat="1" applyFont="1" applyFill="1" applyBorder="1" applyAlignment="1">
      <alignment horizontal="right" vertical="center" wrapText="1"/>
    </xf>
    <xf numFmtId="4" fontId="18" fillId="0" borderId="14" xfId="3" applyNumberFormat="1" applyFont="1" applyBorder="1" applyAlignment="1">
      <alignment horizontal="right" vertical="center" wrapText="1"/>
    </xf>
    <xf numFmtId="4" fontId="19" fillId="0" borderId="20" xfId="3" applyNumberFormat="1" applyFont="1" applyBorder="1" applyAlignment="1">
      <alignment horizontal="right" vertical="center" wrapText="1"/>
    </xf>
    <xf numFmtId="0" fontId="7" fillId="0" borderId="11" xfId="2" applyFont="1" applyFill="1" applyBorder="1" applyAlignment="1">
      <alignment vertical="center"/>
    </xf>
    <xf numFmtId="1" fontId="5" fillId="0" borderId="10" xfId="2" applyNumberFormat="1" applyFont="1" applyFill="1" applyBorder="1" applyAlignment="1" applyProtection="1">
      <alignment horizontal="center" vertical="center"/>
    </xf>
    <xf numFmtId="0" fontId="19" fillId="0" borderId="11" xfId="0" applyFont="1" applyFill="1" applyBorder="1" applyAlignment="1" applyProtection="1">
      <alignment vertical="center" wrapText="1"/>
    </xf>
    <xf numFmtId="4" fontId="19" fillId="0" borderId="25" xfId="6" applyNumberFormat="1" applyFont="1" applyFill="1" applyBorder="1" applyAlignment="1">
      <alignment horizontal="right" vertical="center" wrapText="1"/>
    </xf>
    <xf numFmtId="1" fontId="5" fillId="0" borderId="10" xfId="3" applyNumberFormat="1" applyFont="1" applyBorder="1" applyAlignment="1">
      <alignment horizontal="center" vertical="center" wrapText="1"/>
    </xf>
    <xf numFmtId="0" fontId="27" fillId="0" borderId="34" xfId="0" applyNumberFormat="1" applyFont="1" applyFill="1" applyBorder="1" applyAlignment="1" applyProtection="1">
      <alignment horizontal="left" vertical="center" wrapText="1"/>
    </xf>
    <xf numFmtId="1" fontId="26" fillId="0" borderId="36" xfId="2" applyNumberFormat="1" applyFont="1" applyBorder="1" applyAlignment="1" applyProtection="1">
      <alignment horizontal="left" vertical="center"/>
    </xf>
    <xf numFmtId="0" fontId="18" fillId="0" borderId="42" xfId="2" applyFont="1" applyBorder="1" applyAlignment="1" applyProtection="1">
      <alignment horizontal="center" vertical="center"/>
    </xf>
    <xf numFmtId="1" fontId="18" fillId="0" borderId="42" xfId="5" applyNumberFormat="1" applyFont="1" applyBorder="1" applyAlignment="1" applyProtection="1">
      <alignment horizontal="center" vertical="center" wrapText="1"/>
    </xf>
    <xf numFmtId="0" fontId="29" fillId="0" borderId="38" xfId="0" applyNumberFormat="1" applyFont="1" applyFill="1" applyBorder="1" applyAlignment="1" applyProtection="1">
      <alignment horizontal="left" vertical="center" wrapText="1"/>
    </xf>
    <xf numFmtId="0" fontId="29" fillId="0" borderId="34" xfId="0" applyNumberFormat="1" applyFont="1" applyFill="1" applyBorder="1" applyAlignment="1" applyProtection="1">
      <alignment horizontal="left" vertical="center" wrapText="1"/>
    </xf>
    <xf numFmtId="4" fontId="19" fillId="0" borderId="41" xfId="5" applyNumberFormat="1" applyFont="1" applyBorder="1" applyAlignment="1" applyProtection="1">
      <alignment horizontal="center" vertical="center"/>
    </xf>
    <xf numFmtId="4" fontId="23" fillId="0" borderId="41" xfId="5" applyNumberFormat="1" applyFont="1" applyBorder="1" applyAlignment="1" applyProtection="1">
      <alignment horizontal="center" vertical="center"/>
    </xf>
    <xf numFmtId="4" fontId="19" fillId="0" borderId="32" xfId="3" applyNumberFormat="1" applyFont="1" applyBorder="1" applyAlignment="1">
      <alignment horizontal="right" vertical="center" wrapText="1"/>
    </xf>
    <xf numFmtId="4" fontId="26" fillId="0" borderId="24" xfId="3" applyNumberFormat="1" applyFont="1" applyBorder="1" applyAlignment="1">
      <alignment horizontal="right" vertical="center" wrapText="1"/>
    </xf>
    <xf numFmtId="4" fontId="18" fillId="0" borderId="8" xfId="2" applyNumberFormat="1" applyFont="1" applyBorder="1" applyAlignment="1" applyProtection="1">
      <alignment horizontal="right" vertical="center" wrapText="1"/>
    </xf>
    <xf numFmtId="4" fontId="19" fillId="0" borderId="2" xfId="3" applyNumberFormat="1" applyFont="1" applyBorder="1" applyAlignment="1">
      <alignment horizontal="right" vertical="center" wrapText="1"/>
    </xf>
    <xf numFmtId="4" fontId="18" fillId="0" borderId="26" xfId="3" applyNumberFormat="1" applyFont="1" applyBorder="1" applyAlignment="1">
      <alignment horizontal="right" vertical="center" wrapText="1"/>
    </xf>
    <xf numFmtId="4" fontId="19" fillId="0" borderId="17" xfId="3" applyNumberFormat="1" applyFont="1" applyBorder="1" applyAlignment="1">
      <alignment horizontal="right" vertical="center" wrapText="1"/>
    </xf>
    <xf numFmtId="4" fontId="18" fillId="0" borderId="38" xfId="3" applyNumberFormat="1" applyFont="1" applyBorder="1" applyAlignment="1">
      <alignment horizontal="right" vertical="center" wrapText="1"/>
    </xf>
    <xf numFmtId="4" fontId="26" fillId="0" borderId="17" xfId="3" applyNumberFormat="1" applyFont="1" applyBorder="1" applyAlignment="1">
      <alignment horizontal="right" vertical="center" wrapText="1"/>
    </xf>
    <xf numFmtId="4" fontId="18" fillId="6" borderId="16" xfId="3" applyNumberFormat="1" applyFont="1" applyFill="1" applyBorder="1" applyAlignment="1">
      <alignment horizontal="right" vertical="center" wrapText="1"/>
    </xf>
    <xf numFmtId="4" fontId="19" fillId="0" borderId="10" xfId="3" applyNumberFormat="1" applyFont="1" applyBorder="1" applyAlignment="1">
      <alignment horizontal="right" vertical="center" wrapText="1"/>
    </xf>
    <xf numFmtId="4" fontId="19" fillId="5" borderId="10" xfId="6" applyNumberFormat="1" applyFont="1" applyFill="1" applyBorder="1" applyAlignment="1">
      <alignment horizontal="right" vertical="center" wrapText="1"/>
    </xf>
    <xf numFmtId="4" fontId="18" fillId="0" borderId="11" xfId="3" applyNumberFormat="1" applyFont="1" applyFill="1" applyBorder="1" applyAlignment="1">
      <alignment horizontal="right" vertical="center" wrapText="1"/>
    </xf>
    <xf numFmtId="4" fontId="18" fillId="0" borderId="11" xfId="1" applyNumberFormat="1" applyFont="1" applyFill="1" applyBorder="1" applyAlignment="1" applyProtection="1">
      <alignment horizontal="right" vertical="center" wrapText="1"/>
    </xf>
    <xf numFmtId="0" fontId="23" fillId="0" borderId="2" xfId="0" applyFont="1" applyFill="1" applyBorder="1" applyAlignment="1">
      <alignment horizontal="right" vertical="center" wrapText="1"/>
    </xf>
    <xf numFmtId="0" fontId="23" fillId="0" borderId="1" xfId="0" applyFont="1" applyFill="1" applyBorder="1" applyAlignment="1">
      <alignment horizontal="right" vertical="center" wrapText="1"/>
    </xf>
    <xf numFmtId="0" fontId="18" fillId="0" borderId="1" xfId="0" applyFont="1" applyFill="1" applyBorder="1" applyAlignment="1">
      <alignment horizontal="right" vertical="center" wrapText="1"/>
    </xf>
    <xf numFmtId="0" fontId="23" fillId="0" borderId="0" xfId="0" applyFont="1" applyFill="1" applyBorder="1" applyAlignment="1">
      <alignment horizontal="right" vertical="center" wrapText="1"/>
    </xf>
    <xf numFmtId="4" fontId="19" fillId="5" borderId="9" xfId="3" applyNumberFormat="1" applyFont="1" applyFill="1" applyBorder="1" applyAlignment="1">
      <alignment horizontal="right" vertical="center" wrapText="1"/>
    </xf>
    <xf numFmtId="4" fontId="18" fillId="0" borderId="10" xfId="3" applyNumberFormat="1" applyFont="1" applyFill="1" applyBorder="1" applyAlignment="1">
      <alignment horizontal="right" vertical="center" wrapText="1"/>
    </xf>
    <xf numFmtId="4" fontId="18" fillId="0" borderId="9" xfId="1" applyNumberFormat="1" applyFont="1" applyFill="1" applyBorder="1" applyAlignment="1" applyProtection="1">
      <alignment horizontal="right" vertical="center" wrapText="1"/>
    </xf>
    <xf numFmtId="4" fontId="19" fillId="2" borderId="15" xfId="2" applyNumberFormat="1" applyFont="1" applyFill="1" applyBorder="1" applyAlignment="1" applyProtection="1">
      <alignment horizontal="right" vertical="center" wrapText="1"/>
    </xf>
    <xf numFmtId="4" fontId="19" fillId="5" borderId="2" xfId="6" applyNumberFormat="1" applyFont="1" applyFill="1" applyBorder="1" applyAlignment="1">
      <alignment horizontal="right" vertical="center" wrapText="1"/>
    </xf>
    <xf numFmtId="4" fontId="23" fillId="0" borderId="10" xfId="2" applyNumberFormat="1" applyFont="1" applyBorder="1" applyAlignment="1" applyProtection="1">
      <alignment horizontal="right" vertical="center" wrapText="1"/>
    </xf>
    <xf numFmtId="4" fontId="18" fillId="0" borderId="7" xfId="1" applyNumberFormat="1" applyFont="1" applyFill="1" applyBorder="1" applyAlignment="1" applyProtection="1">
      <alignment horizontal="right" vertical="center" wrapText="1"/>
    </xf>
    <xf numFmtId="4" fontId="18" fillId="0" borderId="7" xfId="2" applyNumberFormat="1" applyFont="1" applyBorder="1" applyAlignment="1" applyProtection="1">
      <alignment horizontal="right" vertical="center"/>
    </xf>
    <xf numFmtId="4" fontId="23" fillId="0" borderId="41" xfId="3" applyNumberFormat="1" applyFont="1" applyBorder="1" applyAlignment="1">
      <alignment horizontal="right" vertical="center" wrapText="1"/>
    </xf>
    <xf numFmtId="4" fontId="36" fillId="0" borderId="23" xfId="3" applyNumberFormat="1" applyFont="1" applyBorder="1" applyAlignment="1">
      <alignment horizontal="right" vertical="center" wrapText="1"/>
    </xf>
    <xf numFmtId="4" fontId="2" fillId="0" borderId="24" xfId="2" applyNumberFormat="1" applyFont="1" applyBorder="1" applyAlignment="1" applyProtection="1">
      <alignment horizontal="right" vertical="center" wrapText="1"/>
    </xf>
    <xf numFmtId="4" fontId="2" fillId="0" borderId="23" xfId="2" applyNumberFormat="1" applyFont="1" applyBorder="1" applyAlignment="1" applyProtection="1">
      <alignment horizontal="right" vertical="center" wrapText="1"/>
    </xf>
    <xf numFmtId="4" fontId="18" fillId="0" borderId="39" xfId="3" applyNumberFormat="1" applyFont="1" applyBorder="1" applyAlignment="1">
      <alignment horizontal="right" vertical="center" wrapText="1"/>
    </xf>
    <xf numFmtId="4" fontId="23" fillId="0" borderId="2" xfId="6" applyNumberFormat="1" applyFont="1" applyFill="1" applyBorder="1" applyAlignment="1">
      <alignment horizontal="right" vertical="center" wrapText="1"/>
    </xf>
    <xf numFmtId="4" fontId="18" fillId="0" borderId="24" xfId="6" applyNumberFormat="1" applyFont="1" applyFill="1" applyBorder="1" applyAlignment="1">
      <alignment horizontal="right" vertical="center" wrapText="1"/>
    </xf>
    <xf numFmtId="0" fontId="18" fillId="0" borderId="23" xfId="3" applyFont="1" applyBorder="1" applyAlignment="1">
      <alignment horizontal="right" vertical="center" wrapText="1"/>
    </xf>
    <xf numFmtId="4" fontId="18" fillId="0" borderId="17" xfId="6" applyNumberFormat="1" applyFont="1" applyFill="1" applyBorder="1" applyAlignment="1">
      <alignment horizontal="right" vertical="center" wrapText="1"/>
    </xf>
    <xf numFmtId="4" fontId="19" fillId="0" borderId="24" xfId="3" applyNumberFormat="1" applyFont="1" applyBorder="1" applyAlignment="1">
      <alignment horizontal="right" vertical="center" wrapText="1"/>
    </xf>
    <xf numFmtId="0" fontId="23" fillId="0" borderId="35" xfId="3" applyFont="1" applyBorder="1" applyAlignment="1">
      <alignment horizontal="right" vertical="center" wrapText="1"/>
    </xf>
    <xf numFmtId="0" fontId="23" fillId="0" borderId="36" xfId="3" applyFont="1" applyBorder="1" applyAlignment="1">
      <alignment horizontal="right" vertical="center" wrapText="1"/>
    </xf>
    <xf numFmtId="4" fontId="19" fillId="0" borderId="10" xfId="2" applyNumberFormat="1" applyFont="1" applyBorder="1" applyAlignment="1" applyProtection="1">
      <alignment horizontal="right" vertical="center" wrapText="1"/>
    </xf>
    <xf numFmtId="4" fontId="18" fillId="0" borderId="0" xfId="5" applyNumberFormat="1" applyFont="1" applyBorder="1" applyAlignment="1">
      <alignment horizontal="right" vertical="center"/>
    </xf>
    <xf numFmtId="4" fontId="18" fillId="0" borderId="10" xfId="6" applyNumberFormat="1" applyFont="1" applyFill="1" applyBorder="1" applyAlignment="1">
      <alignment horizontal="right" vertical="center" wrapText="1"/>
    </xf>
    <xf numFmtId="4" fontId="19" fillId="2" borderId="8" xfId="5" applyNumberFormat="1" applyFont="1" applyFill="1" applyBorder="1" applyAlignment="1" applyProtection="1">
      <alignment horizontal="right" vertical="center"/>
    </xf>
    <xf numFmtId="4" fontId="18" fillId="0" borderId="10" xfId="5" applyNumberFormat="1" applyFont="1" applyFill="1" applyBorder="1" applyAlignment="1" applyProtection="1">
      <alignment horizontal="right" vertical="center" wrapText="1"/>
    </xf>
    <xf numFmtId="4" fontId="15" fillId="4" borderId="5" xfId="5" applyNumberFormat="1" applyFont="1" applyFill="1" applyBorder="1" applyAlignment="1" applyProtection="1">
      <alignment horizontal="right" vertical="center"/>
    </xf>
    <xf numFmtId="0" fontId="19" fillId="0" borderId="36" xfId="3" applyFont="1" applyBorder="1" applyAlignment="1">
      <alignment horizontal="left" vertical="center" wrapText="1"/>
    </xf>
    <xf numFmtId="4" fontId="18" fillId="0" borderId="53" xfId="3" applyNumberFormat="1" applyFont="1" applyBorder="1" applyAlignment="1">
      <alignment horizontal="right" vertical="center" wrapText="1"/>
    </xf>
    <xf numFmtId="1" fontId="5" fillId="0" borderId="41" xfId="2" applyNumberFormat="1"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19" fillId="0" borderId="0" xfId="0" applyFont="1" applyFill="1" applyBorder="1" applyAlignment="1">
      <alignment vertical="center" wrapText="1"/>
    </xf>
    <xf numFmtId="4" fontId="19" fillId="0" borderId="42" xfId="1" applyNumberFormat="1" applyFont="1" applyFill="1" applyBorder="1" applyAlignment="1" applyProtection="1">
      <alignment horizontal="right" vertical="center" wrapText="1"/>
    </xf>
    <xf numFmtId="4" fontId="18" fillId="0" borderId="11" xfId="3" applyNumberFormat="1" applyFont="1" applyFill="1" applyBorder="1" applyAlignment="1">
      <alignment horizontal="left" vertical="center" wrapText="1"/>
    </xf>
    <xf numFmtId="4" fontId="36" fillId="0" borderId="9" xfId="3" applyNumberFormat="1" applyFont="1" applyBorder="1" applyAlignment="1">
      <alignment horizontal="right" vertical="center" wrapText="1"/>
    </xf>
    <xf numFmtId="0" fontId="19" fillId="0" borderId="36" xfId="6" applyFont="1" applyFill="1" applyBorder="1" applyAlignment="1">
      <alignment horizontal="left" vertical="center" wrapText="1"/>
    </xf>
    <xf numFmtId="0" fontId="19" fillId="0" borderId="11" xfId="3" applyFont="1" applyBorder="1" applyAlignment="1">
      <alignment horizontal="left" vertical="center" wrapText="1"/>
    </xf>
    <xf numFmtId="4" fontId="19" fillId="0" borderId="0" xfId="3" applyNumberFormat="1" applyFont="1" applyBorder="1" applyAlignment="1">
      <alignment horizontal="left" vertical="center" wrapText="1"/>
    </xf>
    <xf numFmtId="4" fontId="19" fillId="0" borderId="41" xfId="3" applyNumberFormat="1" applyFont="1" applyBorder="1" applyAlignment="1">
      <alignment horizontal="right" vertical="center" wrapText="1"/>
    </xf>
    <xf numFmtId="1" fontId="18" fillId="0" borderId="8" xfId="5" applyNumberFormat="1" applyFont="1" applyBorder="1" applyAlignment="1" applyProtection="1">
      <alignment horizontal="center" vertical="center" wrapText="1"/>
    </xf>
    <xf numFmtId="1" fontId="17" fillId="4" borderId="54" xfId="5" applyNumberFormat="1" applyFont="1" applyFill="1" applyBorder="1" applyAlignment="1" applyProtection="1">
      <alignment horizontal="center" vertical="center"/>
    </xf>
    <xf numFmtId="4" fontId="16" fillId="4" borderId="55" xfId="5" applyNumberFormat="1" applyFont="1" applyFill="1" applyBorder="1" applyAlignment="1" applyProtection="1">
      <alignment horizontal="center" vertical="center"/>
    </xf>
    <xf numFmtId="4" fontId="15" fillId="4" borderId="55" xfId="5" applyNumberFormat="1" applyFont="1" applyFill="1" applyBorder="1" applyAlignment="1" applyProtection="1">
      <alignment horizontal="center" vertical="center"/>
    </xf>
    <xf numFmtId="4" fontId="15" fillId="4" borderId="56" xfId="5" applyNumberFormat="1" applyFont="1" applyFill="1" applyBorder="1" applyAlignment="1" applyProtection="1">
      <alignment horizontal="right" vertical="center"/>
    </xf>
    <xf numFmtId="0" fontId="18" fillId="0" borderId="41" xfId="0" applyFont="1" applyFill="1" applyBorder="1" applyAlignment="1" applyProtection="1">
      <alignment horizontal="center" vertical="center"/>
    </xf>
    <xf numFmtId="0" fontId="18" fillId="0" borderId="25" xfId="5" applyFont="1" applyBorder="1" applyAlignment="1">
      <alignment horizontal="left" vertical="center" wrapText="1"/>
    </xf>
    <xf numFmtId="4" fontId="18" fillId="0" borderId="24" xfId="5" applyNumberFormat="1" applyFont="1" applyBorder="1" applyAlignment="1">
      <alignment horizontal="right" vertical="center" wrapText="1"/>
    </xf>
    <xf numFmtId="4" fontId="18" fillId="0" borderId="23" xfId="5" applyNumberFormat="1" applyFont="1" applyBorder="1" applyAlignment="1">
      <alignment horizontal="right" vertical="center" wrapText="1"/>
    </xf>
    <xf numFmtId="0" fontId="18" fillId="0" borderId="41" xfId="5" applyFont="1" applyBorder="1" applyAlignment="1" applyProtection="1">
      <alignment horizontal="center" vertical="center"/>
    </xf>
    <xf numFmtId="1" fontId="5" fillId="0" borderId="57" xfId="6" applyNumberFormat="1" applyFont="1" applyFill="1" applyBorder="1" applyAlignment="1">
      <alignment horizontal="center" vertical="center" wrapText="1"/>
    </xf>
    <xf numFmtId="0" fontId="18" fillId="0" borderId="58" xfId="6" applyFont="1" applyFill="1" applyBorder="1" applyAlignment="1">
      <alignment horizontal="center" vertical="center" wrapText="1"/>
    </xf>
    <xf numFmtId="0" fontId="18" fillId="0" borderId="58" xfId="6" applyFont="1" applyFill="1" applyBorder="1" applyAlignment="1">
      <alignment horizontal="left" vertical="center" wrapText="1"/>
    </xf>
    <xf numFmtId="4" fontId="18" fillId="0" borderId="57" xfId="6" applyNumberFormat="1" applyFont="1" applyFill="1" applyBorder="1" applyAlignment="1">
      <alignment horizontal="right" vertical="center" wrapText="1"/>
    </xf>
    <xf numFmtId="4" fontId="18" fillId="0" borderId="59" xfId="3" applyNumberFormat="1" applyFont="1" applyBorder="1" applyAlignment="1">
      <alignment horizontal="right" vertical="center" wrapText="1"/>
    </xf>
    <xf numFmtId="4" fontId="18" fillId="0" borderId="57" xfId="3" applyNumberFormat="1" applyFont="1" applyBorder="1" applyAlignment="1">
      <alignment horizontal="right" vertical="center" wrapText="1"/>
    </xf>
    <xf numFmtId="1" fontId="5" fillId="0" borderId="61" xfId="6" applyNumberFormat="1" applyFont="1" applyFill="1" applyBorder="1" applyAlignment="1">
      <alignment horizontal="center" vertical="center" wrapText="1"/>
    </xf>
    <xf numFmtId="4" fontId="18" fillId="0" borderId="61" xfId="6" applyNumberFormat="1" applyFont="1" applyFill="1" applyBorder="1" applyAlignment="1">
      <alignment horizontal="right" vertical="center" wrapText="1"/>
    </xf>
    <xf numFmtId="4" fontId="18" fillId="0" borderId="60" xfId="3" applyNumberFormat="1" applyFont="1" applyBorder="1" applyAlignment="1">
      <alignment horizontal="right" vertical="center" wrapText="1"/>
    </xf>
    <xf numFmtId="0" fontId="5" fillId="0" borderId="57" xfId="6" applyNumberFormat="1" applyFont="1" applyFill="1" applyBorder="1" applyAlignment="1">
      <alignment horizontal="center" vertical="center" wrapText="1"/>
    </xf>
    <xf numFmtId="4" fontId="18" fillId="0" borderId="58" xfId="3" applyNumberFormat="1" applyFont="1" applyBorder="1" applyAlignment="1">
      <alignment horizontal="left" vertical="center" wrapText="1"/>
    </xf>
    <xf numFmtId="4" fontId="5" fillId="0" borderId="0" xfId="5" applyNumberFormat="1" applyFont="1" applyBorder="1" applyAlignment="1">
      <alignment vertical="center"/>
    </xf>
    <xf numFmtId="1" fontId="5" fillId="0" borderId="57" xfId="3" applyNumberFormat="1" applyFont="1" applyBorder="1" applyAlignment="1">
      <alignment horizontal="center" vertical="center" wrapText="1"/>
    </xf>
    <xf numFmtId="4" fontId="18" fillId="0" borderId="58" xfId="3" applyNumberFormat="1" applyFont="1" applyBorder="1" applyAlignment="1">
      <alignment horizontal="center" vertical="center" wrapText="1"/>
    </xf>
    <xf numFmtId="0" fontId="18" fillId="0" borderId="41" xfId="0" applyFont="1" applyBorder="1" applyAlignment="1" applyProtection="1">
      <alignment horizontal="center" vertical="center"/>
    </xf>
    <xf numFmtId="1" fontId="18" fillId="0" borderId="42" xfId="0" applyNumberFormat="1" applyFont="1" applyBorder="1" applyAlignment="1" applyProtection="1">
      <alignment horizontal="center" vertical="center" wrapText="1"/>
    </xf>
    <xf numFmtId="1" fontId="5" fillId="0" borderId="57" xfId="0" applyNumberFormat="1" applyFont="1" applyFill="1" applyBorder="1" applyAlignment="1" applyProtection="1">
      <alignment horizontal="center" vertical="center"/>
    </xf>
    <xf numFmtId="4" fontId="18" fillId="0" borderId="58" xfId="6" applyNumberFormat="1" applyFont="1" applyFill="1" applyBorder="1" applyAlignment="1">
      <alignment horizontal="center" vertical="center" wrapText="1"/>
    </xf>
    <xf numFmtId="0" fontId="18" fillId="0" borderId="63" xfId="0" applyNumberFormat="1" applyFont="1" applyFill="1" applyBorder="1" applyAlignment="1" applyProtection="1">
      <alignment horizontal="left" vertical="center" wrapText="1"/>
    </xf>
    <xf numFmtId="4" fontId="18" fillId="0" borderId="57" xfId="3" applyNumberFormat="1" applyFont="1" applyBorder="1" applyAlignment="1">
      <alignment horizontal="right" vertical="center"/>
    </xf>
    <xf numFmtId="4" fontId="18" fillId="0" borderId="59" xfId="3" applyNumberFormat="1" applyFont="1" applyBorder="1" applyAlignment="1">
      <alignment horizontal="right" vertical="center"/>
    </xf>
    <xf numFmtId="1" fontId="5" fillId="0" borderId="61" xfId="2" applyNumberFormat="1" applyFont="1" applyBorder="1" applyAlignment="1" applyProtection="1">
      <alignment horizontal="center" vertical="center"/>
    </xf>
    <xf numFmtId="0" fontId="18" fillId="0" borderId="42" xfId="5" applyFont="1" applyBorder="1" applyAlignment="1" applyProtection="1">
      <alignment horizontal="center" vertical="center"/>
    </xf>
    <xf numFmtId="0" fontId="23" fillId="0" borderId="42" xfId="5" applyFont="1" applyBorder="1" applyAlignment="1" applyProtection="1">
      <alignment horizontal="center" vertical="center"/>
    </xf>
    <xf numFmtId="0" fontId="19" fillId="0" borderId="42" xfId="2" applyFont="1" applyBorder="1" applyAlignment="1" applyProtection="1">
      <alignment horizontal="center" vertical="center"/>
    </xf>
    <xf numFmtId="4" fontId="18" fillId="0" borderId="42" xfId="5" applyNumberFormat="1" applyFont="1" applyBorder="1" applyAlignment="1" applyProtection="1">
      <alignment horizontal="center" vertical="center"/>
    </xf>
    <xf numFmtId="4" fontId="18" fillId="0" borderId="42" xfId="5" applyNumberFormat="1" applyFont="1" applyBorder="1" applyAlignment="1" applyProtection="1">
      <alignment vertical="center"/>
    </xf>
    <xf numFmtId="0" fontId="2" fillId="0" borderId="42" xfId="2" applyFont="1" applyBorder="1" applyAlignment="1" applyProtection="1">
      <alignment vertical="center"/>
    </xf>
    <xf numFmtId="0" fontId="19" fillId="2" borderId="13" xfId="4" applyFont="1" applyBorder="1" applyAlignment="1">
      <alignment horizontal="center" vertical="center" wrapText="1"/>
    </xf>
    <xf numFmtId="4" fontId="18" fillId="0" borderId="57" xfId="2" applyNumberFormat="1" applyFont="1" applyBorder="1" applyAlignment="1" applyProtection="1">
      <alignment horizontal="right" vertical="center" wrapText="1"/>
    </xf>
    <xf numFmtId="4" fontId="18" fillId="0" borderId="59" xfId="2" applyNumberFormat="1" applyFont="1" applyBorder="1" applyAlignment="1" applyProtection="1">
      <alignment horizontal="right" vertical="center"/>
    </xf>
    <xf numFmtId="0" fontId="18" fillId="0" borderId="62" xfId="2" applyFont="1" applyBorder="1" applyAlignment="1" applyProtection="1">
      <alignment horizontal="center" vertical="center"/>
    </xf>
    <xf numFmtId="4" fontId="18" fillId="0" borderId="61" xfId="2" applyNumberFormat="1" applyFont="1" applyBorder="1" applyAlignment="1" applyProtection="1">
      <alignment horizontal="right" vertical="center" wrapText="1"/>
    </xf>
    <xf numFmtId="4" fontId="18" fillId="0" borderId="60" xfId="2" applyNumberFormat="1" applyFont="1" applyBorder="1" applyAlignment="1" applyProtection="1">
      <alignment horizontal="right" vertical="center" wrapText="1"/>
    </xf>
    <xf numFmtId="4" fontId="18" fillId="0" borderId="60" xfId="2" applyNumberFormat="1" applyFont="1" applyBorder="1" applyAlignment="1" applyProtection="1">
      <alignment horizontal="right" vertical="center"/>
    </xf>
    <xf numFmtId="1" fontId="5" fillId="0" borderId="57" xfId="2" applyNumberFormat="1" applyFont="1" applyBorder="1" applyAlignment="1" applyProtection="1">
      <alignment horizontal="center" vertical="center"/>
    </xf>
    <xf numFmtId="1" fontId="5" fillId="0" borderId="41" xfId="2" applyNumberFormat="1" applyFont="1" applyBorder="1" applyAlignment="1" applyProtection="1">
      <alignment horizontal="center" vertical="center"/>
    </xf>
    <xf numFmtId="4" fontId="18" fillId="0" borderId="59" xfId="2" applyNumberFormat="1" applyFont="1" applyBorder="1" applyAlignment="1" applyProtection="1">
      <alignment horizontal="right" vertical="center" wrapText="1"/>
    </xf>
    <xf numFmtId="0" fontId="18" fillId="0" borderId="58" xfId="2" applyFont="1" applyBorder="1" applyAlignment="1" applyProtection="1">
      <alignment horizontal="left" vertical="center" wrapText="1"/>
    </xf>
    <xf numFmtId="4" fontId="18" fillId="0" borderId="41" xfId="5" applyNumberFormat="1" applyFont="1" applyBorder="1" applyAlignment="1">
      <alignment horizontal="right" vertical="center" wrapText="1"/>
    </xf>
    <xf numFmtId="4" fontId="18" fillId="0" borderId="42" xfId="5" applyNumberFormat="1" applyFont="1" applyBorder="1" applyAlignment="1">
      <alignment horizontal="right" vertical="center" wrapText="1"/>
    </xf>
    <xf numFmtId="4" fontId="19" fillId="0" borderId="59" xfId="6" applyNumberFormat="1" applyFont="1" applyFill="1" applyBorder="1" applyAlignment="1">
      <alignment horizontal="right" vertical="center" wrapText="1"/>
    </xf>
    <xf numFmtId="4" fontId="18" fillId="0" borderId="60" xfId="6" applyNumberFormat="1" applyFont="1" applyFill="1" applyBorder="1" applyAlignment="1">
      <alignment horizontal="right" vertical="center" wrapText="1"/>
    </xf>
    <xf numFmtId="0" fontId="38" fillId="0" borderId="58" xfId="0" applyFont="1" applyBorder="1" applyAlignment="1">
      <alignment horizontal="justify" vertical="center" wrapText="1"/>
    </xf>
    <xf numFmtId="0" fontId="18" fillId="0" borderId="58" xfId="2" applyFont="1" applyBorder="1" applyAlignment="1" applyProtection="1">
      <alignment horizontal="center" vertical="center"/>
    </xf>
    <xf numFmtId="4" fontId="18" fillId="0" borderId="42" xfId="3" applyNumberFormat="1" applyFont="1" applyFill="1" applyBorder="1" applyAlignment="1">
      <alignment horizontal="right" vertical="center" wrapText="1"/>
    </xf>
    <xf numFmtId="1" fontId="24" fillId="0" borderId="41" xfId="2" applyNumberFormat="1" applyFont="1" applyBorder="1" applyAlignment="1" applyProtection="1">
      <alignment horizontal="center" vertical="center"/>
    </xf>
    <xf numFmtId="0" fontId="18" fillId="0" borderId="62" xfId="6" applyFont="1" applyFill="1" applyBorder="1" applyAlignment="1">
      <alignment horizontal="left" vertical="center" wrapText="1"/>
    </xf>
    <xf numFmtId="0" fontId="18" fillId="0" borderId="25" xfId="6" applyFont="1" applyFill="1" applyBorder="1" applyAlignment="1">
      <alignment horizontal="justify" vertical="center" wrapText="1"/>
    </xf>
    <xf numFmtId="4" fontId="23" fillId="0" borderId="1" xfId="0" applyNumberFormat="1" applyFont="1" applyBorder="1" applyAlignment="1">
      <alignment horizontal="right" vertical="center"/>
    </xf>
    <xf numFmtId="4" fontId="23" fillId="0" borderId="42" xfId="3" applyNumberFormat="1" applyFont="1" applyFill="1" applyBorder="1" applyAlignment="1">
      <alignment horizontal="right" vertical="center" wrapText="1"/>
    </xf>
    <xf numFmtId="166" fontId="23" fillId="0" borderId="1" xfId="0" applyNumberFormat="1" applyFont="1" applyFill="1" applyBorder="1" applyAlignment="1">
      <alignment horizontal="right" vertical="center" wrapText="1"/>
    </xf>
    <xf numFmtId="4" fontId="23" fillId="0" borderId="1" xfId="0" applyNumberFormat="1" applyFont="1" applyFill="1" applyBorder="1" applyAlignment="1">
      <alignment horizontal="right" vertical="center" wrapText="1"/>
    </xf>
    <xf numFmtId="0" fontId="4" fillId="0" borderId="58" xfId="2" applyFont="1" applyBorder="1" applyAlignment="1">
      <alignment horizontal="center" vertical="center"/>
    </xf>
    <xf numFmtId="4" fontId="19" fillId="2" borderId="64" xfId="5" applyNumberFormat="1" applyFont="1" applyFill="1" applyBorder="1" applyAlignment="1" applyProtection="1">
      <alignment horizontal="right" vertical="center"/>
    </xf>
    <xf numFmtId="0" fontId="18" fillId="0" borderId="34" xfId="6" applyFont="1" applyFill="1" applyBorder="1" applyAlignment="1">
      <alignment horizontal="left" vertical="center" wrapText="1"/>
    </xf>
    <xf numFmtId="0" fontId="23" fillId="0" borderId="41" xfId="2" applyFont="1" applyBorder="1" applyAlignment="1" applyProtection="1">
      <alignment horizontal="left" vertical="center"/>
    </xf>
    <xf numFmtId="0" fontId="23" fillId="0" borderId="0" xfId="2" quotePrefix="1" applyFont="1" applyBorder="1" applyAlignment="1" applyProtection="1">
      <alignment horizontal="center" vertical="center"/>
    </xf>
    <xf numFmtId="0" fontId="7" fillId="0" borderId="0" xfId="2" applyFont="1" applyBorder="1" applyAlignment="1">
      <alignment horizontal="left" vertical="center"/>
    </xf>
    <xf numFmtId="1" fontId="24" fillId="0" borderId="29" xfId="2" applyNumberFormat="1" applyFont="1" applyBorder="1" applyAlignment="1" applyProtection="1">
      <alignment horizontal="center" vertical="center"/>
    </xf>
    <xf numFmtId="0" fontId="23" fillId="0" borderId="27" xfId="2" applyFont="1" applyBorder="1" applyAlignment="1" applyProtection="1">
      <alignment horizontal="center" vertical="center"/>
    </xf>
    <xf numFmtId="0" fontId="18" fillId="0" borderId="62" xfId="2" applyFont="1" applyBorder="1" applyAlignment="1" applyProtection="1">
      <alignment vertical="center" wrapText="1"/>
    </xf>
    <xf numFmtId="0" fontId="23" fillId="0" borderId="62" xfId="6" applyFont="1" applyFill="1" applyBorder="1" applyAlignment="1">
      <alignment horizontal="center" vertical="center" wrapText="1"/>
    </xf>
    <xf numFmtId="4" fontId="23" fillId="0" borderId="61" xfId="6" applyNumberFormat="1" applyFont="1" applyFill="1" applyBorder="1" applyAlignment="1">
      <alignment horizontal="right" vertical="center" wrapText="1"/>
    </xf>
    <xf numFmtId="4" fontId="23" fillId="0" borderId="60" xfId="6" applyNumberFormat="1" applyFont="1" applyFill="1" applyBorder="1" applyAlignment="1">
      <alignment horizontal="right" vertical="center" wrapText="1"/>
    </xf>
    <xf numFmtId="1" fontId="18" fillId="0" borderId="42" xfId="5" applyNumberFormat="1" applyFont="1" applyFill="1" applyBorder="1" applyAlignment="1" applyProtection="1">
      <alignment horizontal="center" vertical="center" wrapText="1"/>
    </xf>
    <xf numFmtId="4" fontId="23" fillId="0" borderId="28" xfId="3" applyNumberFormat="1" applyFont="1" applyBorder="1" applyAlignment="1">
      <alignment horizontal="right" vertical="center" wrapText="1"/>
    </xf>
    <xf numFmtId="0" fontId="29" fillId="0" borderId="58" xfId="0" applyNumberFormat="1" applyFont="1" applyFill="1" applyBorder="1" applyAlignment="1" applyProtection="1">
      <alignment horizontal="left" vertical="center" wrapText="1"/>
    </xf>
    <xf numFmtId="4" fontId="24" fillId="0" borderId="0" xfId="3" applyNumberFormat="1" applyFont="1" applyBorder="1" applyAlignment="1">
      <alignment horizontal="center" vertical="center" wrapText="1"/>
    </xf>
    <xf numFmtId="4" fontId="23" fillId="0" borderId="0" xfId="3" applyNumberFormat="1" applyFont="1" applyBorder="1" applyAlignment="1">
      <alignment horizontal="center" vertical="center" wrapText="1"/>
    </xf>
    <xf numFmtId="4" fontId="7" fillId="0" borderId="0" xfId="5" applyNumberFormat="1" applyFont="1" applyAlignment="1">
      <alignment vertical="center"/>
    </xf>
    <xf numFmtId="1" fontId="5" fillId="3" borderId="61" xfId="2" applyNumberFormat="1" applyFont="1" applyFill="1" applyBorder="1" applyAlignment="1" applyProtection="1">
      <alignment horizontal="center" vertical="center"/>
    </xf>
    <xf numFmtId="3" fontId="5" fillId="3" borderId="57" xfId="3" applyNumberFormat="1" applyFont="1" applyFill="1" applyBorder="1" applyAlignment="1">
      <alignment horizontal="center" vertical="center" wrapText="1"/>
    </xf>
    <xf numFmtId="4" fontId="18" fillId="3" borderId="25" xfId="3" applyNumberFormat="1" applyFont="1" applyFill="1" applyBorder="1" applyAlignment="1">
      <alignment vertical="center" wrapText="1"/>
    </xf>
    <xf numFmtId="0" fontId="19" fillId="0" borderId="41" xfId="4" applyFont="1" applyFill="1" applyBorder="1" applyAlignment="1">
      <alignment horizontal="center" vertical="center" wrapText="1"/>
    </xf>
    <xf numFmtId="0" fontId="19" fillId="6" borderId="41" xfId="6" applyFont="1" applyFill="1" applyBorder="1" applyAlignment="1">
      <alignment horizontal="center" vertical="center" wrapText="1"/>
    </xf>
    <xf numFmtId="0" fontId="19" fillId="0" borderId="41" xfId="2" applyFont="1" applyBorder="1" applyAlignment="1" applyProtection="1">
      <alignment horizontal="center" vertical="center"/>
    </xf>
    <xf numFmtId="0" fontId="26" fillId="0" borderId="41" xfId="2" applyFont="1" applyBorder="1" applyAlignment="1">
      <alignment vertical="center"/>
    </xf>
    <xf numFmtId="0" fontId="19" fillId="6" borderId="41" xfId="2" applyFont="1" applyFill="1" applyBorder="1" applyAlignment="1" applyProtection="1">
      <alignment horizontal="center" vertical="center"/>
    </xf>
    <xf numFmtId="0" fontId="18" fillId="0" borderId="41" xfId="2" applyFont="1" applyBorder="1" applyAlignment="1">
      <alignment vertical="center"/>
    </xf>
    <xf numFmtId="0" fontId="19" fillId="0" borderId="41" xfId="0" applyFont="1" applyFill="1" applyBorder="1" applyAlignment="1" applyProtection="1">
      <alignment horizontal="center" vertical="center"/>
    </xf>
    <xf numFmtId="0" fontId="18" fillId="0" borderId="41" xfId="0" applyFont="1" applyBorder="1" applyAlignment="1">
      <alignment vertical="center"/>
    </xf>
    <xf numFmtId="0" fontId="19" fillId="6" borderId="41" xfId="6" applyFont="1" applyFill="1" applyBorder="1" applyAlignment="1">
      <alignment horizontal="left" vertical="center" wrapText="1"/>
    </xf>
    <xf numFmtId="4" fontId="19" fillId="0" borderId="41" xfId="5" applyNumberFormat="1" applyFont="1" applyFill="1" applyBorder="1" applyAlignment="1" applyProtection="1">
      <alignment horizontal="center" vertical="center"/>
    </xf>
    <xf numFmtId="0" fontId="19" fillId="6" borderId="41" xfId="0" applyFont="1" applyFill="1" applyBorder="1" applyAlignment="1" applyProtection="1">
      <alignment horizontal="center" vertical="center"/>
    </xf>
    <xf numFmtId="4" fontId="11" fillId="0" borderId="41" xfId="4" applyNumberFormat="1" applyFont="1" applyFill="1" applyBorder="1" applyAlignment="1">
      <alignment horizontal="center" vertical="center" wrapText="1"/>
    </xf>
    <xf numFmtId="4" fontId="14" fillId="0" borderId="41" xfId="4" applyNumberFormat="1" applyFont="1" applyFill="1" applyBorder="1" applyAlignment="1">
      <alignment horizontal="center" vertical="center" wrapText="1"/>
    </xf>
    <xf numFmtId="4" fontId="4" fillId="0" borderId="41" xfId="2" applyNumberFormat="1" applyFont="1" applyBorder="1" applyAlignment="1" applyProtection="1">
      <alignment horizontal="center" vertical="center"/>
    </xf>
    <xf numFmtId="0" fontId="4" fillId="0" borderId="41" xfId="2" applyFont="1" applyBorder="1" applyAlignment="1" applyProtection="1">
      <alignment horizontal="center" vertical="center"/>
    </xf>
    <xf numFmtId="0" fontId="2" fillId="0" borderId="41" xfId="2" applyFont="1" applyBorder="1" applyAlignment="1" applyProtection="1">
      <alignment horizontal="center" vertical="center"/>
    </xf>
    <xf numFmtId="0" fontId="27" fillId="0" borderId="58" xfId="0" applyNumberFormat="1" applyFont="1" applyFill="1" applyBorder="1" applyAlignment="1" applyProtection="1">
      <alignment horizontal="left" vertical="center" wrapText="1"/>
    </xf>
    <xf numFmtId="0" fontId="18" fillId="0" borderId="65" xfId="2" applyFont="1" applyBorder="1" applyAlignment="1" applyProtection="1">
      <alignment horizontal="center" vertical="center"/>
    </xf>
    <xf numFmtId="1" fontId="18" fillId="0" borderId="66" xfId="2" applyNumberFormat="1" applyFont="1" applyBorder="1" applyAlignment="1" applyProtection="1">
      <alignment horizontal="center" vertical="center"/>
    </xf>
    <xf numFmtId="0" fontId="23" fillId="0" borderId="65" xfId="2" applyFont="1" applyBorder="1" applyAlignment="1" applyProtection="1">
      <alignment horizontal="center" vertical="center"/>
    </xf>
    <xf numFmtId="1" fontId="23" fillId="0" borderId="66" xfId="2" applyNumberFormat="1" applyFont="1" applyBorder="1" applyAlignment="1" applyProtection="1">
      <alignment horizontal="center" vertical="center"/>
    </xf>
    <xf numFmtId="4" fontId="23" fillId="0" borderId="65" xfId="2" applyNumberFormat="1" applyFont="1" applyBorder="1" applyAlignment="1" applyProtection="1">
      <alignment horizontal="right" vertical="center" wrapText="1"/>
    </xf>
    <xf numFmtId="49" fontId="23" fillId="0" borderId="58" xfId="3" applyNumberFormat="1" applyFont="1" applyBorder="1" applyAlignment="1">
      <alignment horizontal="center" vertical="center" wrapText="1"/>
    </xf>
    <xf numFmtId="4" fontId="23" fillId="0" borderId="66" xfId="3" applyNumberFormat="1" applyFont="1" applyBorder="1" applyAlignment="1">
      <alignment horizontal="right" vertical="center" wrapText="1"/>
    </xf>
    <xf numFmtId="1" fontId="23" fillId="0" borderId="66" xfId="2" applyNumberFormat="1" applyFont="1" applyBorder="1" applyAlignment="1" applyProtection="1">
      <alignment horizontal="left" vertical="center"/>
    </xf>
    <xf numFmtId="1" fontId="18" fillId="0" borderId="66" xfId="6" applyNumberFormat="1" applyFont="1" applyFill="1" applyBorder="1" applyAlignment="1">
      <alignment horizontal="center" vertical="center" wrapText="1"/>
    </xf>
    <xf numFmtId="1" fontId="5" fillId="0" borderId="65" xfId="6" applyNumberFormat="1" applyFont="1" applyFill="1" applyBorder="1" applyAlignment="1">
      <alignment horizontal="center" vertical="center" wrapText="1"/>
    </xf>
    <xf numFmtId="4" fontId="18" fillId="0" borderId="65" xfId="6" applyNumberFormat="1" applyFont="1" applyFill="1" applyBorder="1" applyAlignment="1">
      <alignment horizontal="right" vertical="center" wrapText="1"/>
    </xf>
    <xf numFmtId="4" fontId="18" fillId="0" borderId="66" xfId="6" applyNumberFormat="1" applyFont="1" applyFill="1" applyBorder="1" applyAlignment="1">
      <alignment horizontal="right" vertical="center" wrapText="1"/>
    </xf>
    <xf numFmtId="1" fontId="18" fillId="0" borderId="66" xfId="2" applyNumberFormat="1" applyFont="1" applyBorder="1" applyAlignment="1" applyProtection="1">
      <alignment horizontal="left" vertical="center"/>
    </xf>
    <xf numFmtId="0" fontId="18" fillId="0" borderId="58" xfId="3" applyFont="1" applyBorder="1" applyAlignment="1">
      <alignment horizontal="center" vertical="center" wrapText="1"/>
    </xf>
    <xf numFmtId="0" fontId="18" fillId="0" borderId="58" xfId="3" applyFont="1" applyBorder="1" applyAlignment="1">
      <alignment horizontal="left" vertical="center" wrapText="1"/>
    </xf>
    <xf numFmtId="0" fontId="18" fillId="0" borderId="62" xfId="6" applyFont="1" applyFill="1" applyBorder="1" applyAlignment="1">
      <alignment horizontal="center" vertical="center" wrapText="1"/>
    </xf>
    <xf numFmtId="4" fontId="18" fillId="0" borderId="66" xfId="3" applyNumberFormat="1" applyFont="1" applyBorder="1" applyAlignment="1">
      <alignment horizontal="right" vertical="center" wrapText="1"/>
    </xf>
    <xf numFmtId="0" fontId="18" fillId="0" borderId="34" xfId="0" applyFont="1" applyFill="1" applyBorder="1" applyAlignment="1">
      <alignment horizontal="left" vertical="center" wrapText="1"/>
    </xf>
    <xf numFmtId="0" fontId="23" fillId="0" borderId="58" xfId="0" applyFont="1" applyFill="1" applyBorder="1" applyAlignment="1">
      <alignment horizontal="right" vertical="center" wrapText="1"/>
    </xf>
    <xf numFmtId="0" fontId="23" fillId="0" borderId="59" xfId="0" applyFont="1" applyFill="1" applyBorder="1" applyAlignment="1">
      <alignment horizontal="right" vertical="center" wrapText="1"/>
    </xf>
    <xf numFmtId="166" fontId="18" fillId="0" borderId="59" xfId="0" applyNumberFormat="1" applyFont="1" applyFill="1" applyBorder="1" applyAlignment="1">
      <alignment horizontal="right" vertical="center" wrapText="1"/>
    </xf>
    <xf numFmtId="4" fontId="18" fillId="0" borderId="59" xfId="0" applyNumberFormat="1" applyFont="1" applyFill="1" applyBorder="1" applyAlignment="1">
      <alignment horizontal="right" vertical="center" wrapText="1"/>
    </xf>
    <xf numFmtId="0" fontId="23" fillId="0" borderId="65" xfId="5" applyFont="1" applyBorder="1" applyAlignment="1" applyProtection="1">
      <alignment horizontal="center" vertical="center"/>
    </xf>
    <xf numFmtId="1" fontId="23" fillId="0" borderId="66" xfId="6" applyNumberFormat="1" applyFont="1" applyFill="1" applyBorder="1" applyAlignment="1">
      <alignment horizontal="center" vertical="center" wrapText="1"/>
    </xf>
    <xf numFmtId="4" fontId="23" fillId="0" borderId="65" xfId="6" applyNumberFormat="1" applyFont="1" applyFill="1" applyBorder="1" applyAlignment="1">
      <alignment horizontal="right" vertical="center" wrapText="1"/>
    </xf>
    <xf numFmtId="4" fontId="23" fillId="0" borderId="66" xfId="6" applyNumberFormat="1" applyFont="1" applyFill="1" applyBorder="1" applyAlignment="1">
      <alignment horizontal="right" vertical="center" wrapText="1"/>
    </xf>
    <xf numFmtId="4" fontId="19" fillId="0" borderId="11" xfId="3" applyNumberFormat="1" applyFont="1" applyBorder="1" applyAlignment="1">
      <alignment horizontal="left" vertical="center" wrapText="1"/>
    </xf>
    <xf numFmtId="1" fontId="19" fillId="0" borderId="66" xfId="6" applyNumberFormat="1" applyFont="1" applyFill="1" applyBorder="1" applyAlignment="1">
      <alignment horizontal="center" vertical="center" wrapText="1"/>
    </xf>
    <xf numFmtId="4" fontId="19" fillId="0" borderId="65" xfId="6" applyNumberFormat="1" applyFont="1" applyFill="1" applyBorder="1" applyAlignment="1">
      <alignment horizontal="right" vertical="center" wrapText="1"/>
    </xf>
    <xf numFmtId="4" fontId="19" fillId="0" borderId="66" xfId="6" applyNumberFormat="1" applyFont="1" applyFill="1" applyBorder="1" applyAlignment="1">
      <alignment horizontal="right" vertical="center" wrapText="1"/>
    </xf>
    <xf numFmtId="4" fontId="19" fillId="0" borderId="59" xfId="3" applyNumberFormat="1" applyFont="1" applyBorder="1" applyAlignment="1">
      <alignment horizontal="right" vertical="center" wrapText="1"/>
    </xf>
    <xf numFmtId="4" fontId="19" fillId="0" borderId="57" xfId="3" applyNumberFormat="1" applyFont="1" applyBorder="1" applyAlignment="1">
      <alignment horizontal="right" vertical="center" wrapText="1"/>
    </xf>
    <xf numFmtId="1" fontId="19" fillId="0" borderId="9" xfId="5" applyNumberFormat="1" applyFont="1" applyBorder="1" applyAlignment="1" applyProtection="1">
      <alignment horizontal="center" vertical="center" wrapText="1"/>
    </xf>
    <xf numFmtId="4" fontId="19" fillId="0" borderId="11" xfId="3" applyNumberFormat="1" applyFont="1" applyBorder="1" applyAlignment="1">
      <alignment horizontal="center" vertical="center" wrapText="1"/>
    </xf>
    <xf numFmtId="4" fontId="18" fillId="0" borderId="65" xfId="5" applyNumberFormat="1" applyFont="1" applyFill="1" applyBorder="1" applyAlignment="1" applyProtection="1">
      <alignment horizontal="center" vertical="center"/>
    </xf>
    <xf numFmtId="1" fontId="5" fillId="0" borderId="10" xfId="5" applyNumberFormat="1" applyFont="1" applyFill="1" applyBorder="1" applyAlignment="1" applyProtection="1">
      <alignment horizontal="center" vertical="center"/>
    </xf>
    <xf numFmtId="4" fontId="19" fillId="0" borderId="10" xfId="5" applyNumberFormat="1" applyFont="1" applyFill="1" applyBorder="1" applyAlignment="1" applyProtection="1">
      <alignment horizontal="right" vertical="center"/>
    </xf>
    <xf numFmtId="4" fontId="18" fillId="0" borderId="10" xfId="5" applyNumberFormat="1" applyFont="1" applyFill="1" applyBorder="1" applyAlignment="1" applyProtection="1">
      <alignment horizontal="right" vertical="center"/>
    </xf>
    <xf numFmtId="4" fontId="19" fillId="0" borderId="65" xfId="5" applyNumberFormat="1" applyFont="1" applyBorder="1" applyAlignment="1" applyProtection="1">
      <alignment horizontal="center" vertical="center"/>
    </xf>
    <xf numFmtId="1" fontId="19" fillId="0" borderId="66" xfId="5" applyNumberFormat="1" applyFont="1" applyBorder="1" applyAlignment="1" applyProtection="1">
      <alignment horizontal="center" vertical="center" wrapText="1"/>
    </xf>
    <xf numFmtId="4" fontId="18" fillId="0" borderId="58" xfId="6" applyNumberFormat="1" applyFont="1" applyFill="1" applyBorder="1" applyAlignment="1">
      <alignment horizontal="left" vertical="center" wrapText="1"/>
    </xf>
    <xf numFmtId="4" fontId="23" fillId="0" borderId="65" xfId="5" applyNumberFormat="1" applyFont="1" applyBorder="1" applyAlignment="1" applyProtection="1">
      <alignment horizontal="center" vertical="center"/>
    </xf>
    <xf numFmtId="1" fontId="5" fillId="0" borderId="65" xfId="2" applyNumberFormat="1" applyFont="1" applyBorder="1" applyAlignment="1" applyProtection="1">
      <alignment horizontal="center" vertical="center"/>
    </xf>
    <xf numFmtId="0" fontId="18" fillId="0" borderId="65" xfId="0" applyFont="1" applyBorder="1" applyAlignment="1" applyProtection="1">
      <alignment horizontal="center" vertical="center"/>
    </xf>
    <xf numFmtId="1" fontId="18" fillId="0" borderId="66" xfId="0" applyNumberFormat="1" applyFont="1" applyBorder="1" applyAlignment="1" applyProtection="1">
      <alignment horizontal="center" vertical="center" wrapText="1"/>
    </xf>
    <xf numFmtId="4" fontId="19" fillId="0" borderId="36" xfId="6" applyNumberFormat="1" applyFont="1" applyFill="1" applyBorder="1" applyAlignment="1">
      <alignment horizontal="left" vertical="center" wrapText="1"/>
    </xf>
    <xf numFmtId="0" fontId="23" fillId="0" borderId="65" xfId="2" applyFont="1" applyBorder="1" applyAlignment="1" applyProtection="1">
      <alignment horizontal="left" vertical="center"/>
    </xf>
    <xf numFmtId="0" fontId="23" fillId="3" borderId="58" xfId="3" applyFont="1" applyFill="1" applyBorder="1" applyAlignment="1">
      <alignment horizontal="center" vertical="center" wrapText="1"/>
    </xf>
    <xf numFmtId="1" fontId="5" fillId="3" borderId="33" xfId="3" applyNumberFormat="1" applyFont="1" applyFill="1" applyBorder="1" applyAlignment="1">
      <alignment horizontal="center" vertical="center" wrapText="1"/>
    </xf>
    <xf numFmtId="0" fontId="18" fillId="3" borderId="33" xfId="3" applyFont="1" applyFill="1" applyBorder="1" applyAlignment="1">
      <alignment horizontal="center" vertical="center" wrapText="1"/>
    </xf>
    <xf numFmtId="0" fontId="18" fillId="6" borderId="65" xfId="2" applyFont="1" applyFill="1" applyBorder="1" applyAlignment="1" applyProtection="1">
      <alignment horizontal="center" vertical="center"/>
    </xf>
    <xf numFmtId="0" fontId="23" fillId="0" borderId="66" xfId="2" applyFont="1" applyBorder="1" applyAlignment="1" applyProtection="1">
      <alignment horizontal="center" vertical="center"/>
    </xf>
    <xf numFmtId="4" fontId="23" fillId="0" borderId="0" xfId="3" applyNumberFormat="1" applyFont="1" applyBorder="1" applyAlignment="1">
      <alignment horizontal="right" vertical="center" wrapText="1"/>
    </xf>
    <xf numFmtId="2" fontId="18" fillId="0" borderId="65" xfId="6" applyNumberFormat="1" applyFont="1" applyFill="1" applyBorder="1" applyAlignment="1">
      <alignment horizontal="right" vertical="center" wrapText="1"/>
    </xf>
    <xf numFmtId="2" fontId="18" fillId="0" borderId="66" xfId="6" applyNumberFormat="1" applyFont="1" applyFill="1" applyBorder="1" applyAlignment="1">
      <alignment horizontal="right" vertical="center" wrapText="1"/>
    </xf>
    <xf numFmtId="4" fontId="18" fillId="0" borderId="65" xfId="5" applyNumberFormat="1" applyFont="1" applyBorder="1" applyAlignment="1" applyProtection="1">
      <alignment horizontal="center" vertical="center"/>
    </xf>
    <xf numFmtId="4" fontId="18" fillId="0" borderId="65" xfId="3" applyNumberFormat="1" applyFont="1" applyBorder="1" applyAlignment="1">
      <alignment horizontal="right" vertical="center" wrapText="1"/>
    </xf>
    <xf numFmtId="4" fontId="19" fillId="0" borderId="58" xfId="3" applyNumberFormat="1" applyFont="1" applyBorder="1" applyAlignment="1">
      <alignment horizontal="left" vertical="center" wrapText="1"/>
    </xf>
    <xf numFmtId="4" fontId="19" fillId="0" borderId="66" xfId="3" applyNumberFormat="1" applyFont="1" applyBorder="1" applyAlignment="1">
      <alignment horizontal="right" vertical="center" wrapText="1"/>
    </xf>
    <xf numFmtId="4" fontId="31" fillId="0" borderId="0" xfId="5" applyNumberFormat="1" applyFont="1" applyBorder="1" applyAlignment="1">
      <alignment vertical="center"/>
    </xf>
    <xf numFmtId="1" fontId="18" fillId="0" borderId="66" xfId="5" applyNumberFormat="1" applyFont="1" applyBorder="1" applyAlignment="1" applyProtection="1">
      <alignment horizontal="center" vertical="center" wrapText="1"/>
    </xf>
    <xf numFmtId="4" fontId="18" fillId="0" borderId="66" xfId="2" applyNumberFormat="1" applyFont="1" applyBorder="1" applyAlignment="1" applyProtection="1">
      <alignment horizontal="right" vertical="center"/>
    </xf>
    <xf numFmtId="0" fontId="23" fillId="0" borderId="62" xfId="3" quotePrefix="1" applyFont="1" applyBorder="1" applyAlignment="1">
      <alignment horizontal="center" vertical="center" wrapText="1"/>
    </xf>
    <xf numFmtId="4" fontId="23" fillId="0" borderId="61" xfId="3" applyNumberFormat="1" applyFont="1" applyBorder="1" applyAlignment="1">
      <alignment horizontal="right" vertical="center" wrapText="1"/>
    </xf>
    <xf numFmtId="4" fontId="23" fillId="0" borderId="60" xfId="3" applyNumberFormat="1" applyFont="1" applyBorder="1" applyAlignment="1">
      <alignment horizontal="right" vertical="center" wrapText="1"/>
    </xf>
    <xf numFmtId="0" fontId="18" fillId="0" borderId="65" xfId="2" applyFont="1" applyBorder="1" applyAlignment="1" applyProtection="1">
      <alignment horizontal="left" vertical="center"/>
    </xf>
    <xf numFmtId="0" fontId="4" fillId="3" borderId="62" xfId="2" applyFont="1" applyFill="1" applyBorder="1" applyAlignment="1">
      <alignment horizontal="center" vertical="center"/>
    </xf>
    <xf numFmtId="4" fontId="23" fillId="0" borderId="0" xfId="3" applyNumberFormat="1" applyFont="1" applyFill="1" applyBorder="1" applyAlignment="1">
      <alignment horizontal="right" vertical="center" wrapText="1"/>
    </xf>
    <xf numFmtId="4" fontId="18" fillId="0" borderId="0" xfId="3" applyNumberFormat="1" applyFont="1" applyFill="1" applyBorder="1" applyAlignment="1">
      <alignment horizontal="right" vertical="center" wrapText="1"/>
    </xf>
    <xf numFmtId="1" fontId="13" fillId="27" borderId="0" xfId="5" applyNumberFormat="1" applyFont="1" applyFill="1" applyBorder="1" applyAlignment="1" applyProtection="1">
      <alignment horizontal="center" vertical="center" wrapText="1"/>
    </xf>
    <xf numFmtId="1" fontId="5" fillId="3" borderId="8" xfId="2" applyNumberFormat="1" applyFont="1" applyFill="1" applyBorder="1" applyAlignment="1" applyProtection="1">
      <alignment horizontal="center" vertical="center"/>
    </xf>
    <xf numFmtId="49" fontId="23" fillId="3" borderId="12" xfId="3" applyNumberFormat="1" applyFont="1" applyFill="1" applyBorder="1" applyAlignment="1">
      <alignment horizontal="center" vertical="center" wrapText="1"/>
    </xf>
    <xf numFmtId="1" fontId="26" fillId="0" borderId="66" xfId="2" applyNumberFormat="1" applyFont="1" applyBorder="1" applyAlignment="1" applyProtection="1">
      <alignment horizontal="center" vertical="center"/>
    </xf>
    <xf numFmtId="4" fontId="23" fillId="0" borderId="66" xfId="2" applyNumberFormat="1" applyFont="1" applyBorder="1" applyAlignment="1" applyProtection="1">
      <alignment horizontal="right" vertical="center" wrapText="1"/>
    </xf>
    <xf numFmtId="0" fontId="18" fillId="0" borderId="58" xfId="2" applyFont="1" applyBorder="1" applyAlignment="1" applyProtection="1">
      <alignment vertical="center" wrapText="1"/>
    </xf>
    <xf numFmtId="4" fontId="18" fillId="28" borderId="31" xfId="3" applyNumberFormat="1" applyFont="1" applyFill="1" applyBorder="1" applyAlignment="1">
      <alignment horizontal="right" vertical="center" wrapText="1"/>
    </xf>
    <xf numFmtId="1" fontId="13" fillId="29" borderId="0" xfId="5" applyNumberFormat="1" applyFont="1" applyFill="1" applyBorder="1" applyAlignment="1" applyProtection="1">
      <alignment horizontal="center" vertical="center" wrapText="1"/>
    </xf>
    <xf numFmtId="0" fontId="4" fillId="29" borderId="58" xfId="2" applyFont="1" applyFill="1" applyBorder="1" applyAlignment="1">
      <alignment horizontal="center" vertical="center"/>
    </xf>
    <xf numFmtId="4" fontId="18" fillId="0" borderId="57" xfId="3" quotePrefix="1" applyNumberFormat="1" applyFont="1" applyBorder="1" applyAlignment="1">
      <alignment horizontal="right" vertical="center" wrapText="1"/>
    </xf>
    <xf numFmtId="4" fontId="18" fillId="0" borderId="65" xfId="3" quotePrefix="1" applyNumberFormat="1" applyFont="1" applyBorder="1" applyAlignment="1">
      <alignment horizontal="right" vertical="center" wrapText="1"/>
    </xf>
    <xf numFmtId="0" fontId="23" fillId="0" borderId="0" xfId="6" quotePrefix="1" applyFont="1" applyFill="1" applyBorder="1" applyAlignment="1">
      <alignment horizontal="left" vertical="center" wrapText="1"/>
    </xf>
    <xf numFmtId="4" fontId="23" fillId="0" borderId="65" xfId="3" applyNumberFormat="1" applyFont="1" applyBorder="1" applyAlignment="1">
      <alignment horizontal="right" vertical="center" wrapText="1"/>
    </xf>
    <xf numFmtId="4" fontId="37" fillId="0" borderId="2" xfId="3" applyNumberFormat="1" applyFont="1" applyBorder="1" applyAlignment="1">
      <alignment horizontal="right" vertical="center" wrapText="1"/>
    </xf>
    <xf numFmtId="4" fontId="37" fillId="0" borderId="1" xfId="3" applyNumberFormat="1" applyFont="1" applyBorder="1" applyAlignment="1">
      <alignment horizontal="right" vertical="center" wrapText="1"/>
    </xf>
    <xf numFmtId="0" fontId="26" fillId="0" borderId="65" xfId="2" applyFont="1" applyBorder="1" applyAlignment="1" applyProtection="1">
      <alignment horizontal="center" vertical="center"/>
    </xf>
    <xf numFmtId="1" fontId="26" fillId="0" borderId="66" xfId="2" applyNumberFormat="1" applyFont="1" applyBorder="1" applyAlignment="1" applyProtection="1">
      <alignment horizontal="left" vertical="center"/>
    </xf>
    <xf numFmtId="4" fontId="26" fillId="0" borderId="65" xfId="3" applyNumberFormat="1" applyFont="1" applyBorder="1" applyAlignment="1">
      <alignment horizontal="right" vertical="center" wrapText="1"/>
    </xf>
    <xf numFmtId="4" fontId="26" fillId="0" borderId="66" xfId="3" applyNumberFormat="1" applyFont="1" applyBorder="1" applyAlignment="1">
      <alignment horizontal="right" vertical="center" wrapText="1"/>
    </xf>
    <xf numFmtId="4" fontId="18" fillId="6" borderId="66" xfId="3" applyNumberFormat="1" applyFont="1" applyFill="1" applyBorder="1" applyAlignment="1">
      <alignment horizontal="right" vertical="center" wrapText="1"/>
    </xf>
    <xf numFmtId="0" fontId="18" fillId="0" borderId="62" xfId="2" applyFont="1" applyBorder="1" applyAlignment="1" applyProtection="1">
      <alignment horizontal="left" vertical="center" wrapText="1"/>
    </xf>
    <xf numFmtId="4" fontId="26" fillId="0" borderId="61" xfId="3" applyNumberFormat="1" applyFont="1" applyBorder="1" applyAlignment="1">
      <alignment horizontal="right" vertical="center" wrapText="1"/>
    </xf>
    <xf numFmtId="4" fontId="26" fillId="0" borderId="60" xfId="3" applyNumberFormat="1" applyFont="1" applyBorder="1" applyAlignment="1">
      <alignment horizontal="right" vertical="center" wrapText="1"/>
    </xf>
    <xf numFmtId="4" fontId="18" fillId="6" borderId="60" xfId="3" applyNumberFormat="1" applyFont="1" applyFill="1" applyBorder="1" applyAlignment="1">
      <alignment horizontal="right" vertical="center" wrapText="1"/>
    </xf>
    <xf numFmtId="49" fontId="18" fillId="0" borderId="62" xfId="3" applyNumberFormat="1" applyFont="1" applyBorder="1" applyAlignment="1">
      <alignment horizontal="center" vertical="center" wrapText="1"/>
    </xf>
    <xf numFmtId="0" fontId="18" fillId="0" borderId="62" xfId="3" applyFont="1" applyFill="1" applyBorder="1" applyAlignment="1">
      <alignment horizontal="left" vertical="center" wrapText="1"/>
    </xf>
    <xf numFmtId="0" fontId="18" fillId="0" borderId="38" xfId="3" applyFont="1" applyFill="1" applyBorder="1" applyAlignment="1">
      <alignment horizontal="left" vertical="center" wrapText="1"/>
    </xf>
    <xf numFmtId="0" fontId="18" fillId="0" borderId="61" xfId="3" applyFont="1" applyFill="1" applyBorder="1" applyAlignment="1">
      <alignment horizontal="left" vertical="center" wrapText="1"/>
    </xf>
    <xf numFmtId="0" fontId="18" fillId="0" borderId="60" xfId="3" applyFont="1" applyFill="1" applyBorder="1" applyAlignment="1">
      <alignment horizontal="left" vertical="center" wrapText="1"/>
    </xf>
    <xf numFmtId="0" fontId="4" fillId="29" borderId="0" xfId="2" applyFont="1" applyFill="1" applyBorder="1" applyAlignment="1">
      <alignment horizontal="center" vertical="center"/>
    </xf>
    <xf numFmtId="1" fontId="5" fillId="3" borderId="24" xfId="2" applyNumberFormat="1" applyFont="1" applyFill="1" applyBorder="1" applyAlignment="1" applyProtection="1">
      <alignment horizontal="center" vertical="center"/>
    </xf>
    <xf numFmtId="1" fontId="5" fillId="0" borderId="65" xfId="0" applyNumberFormat="1" applyFont="1" applyFill="1" applyBorder="1" applyAlignment="1" applyProtection="1">
      <alignment horizontal="center" vertical="center"/>
    </xf>
    <xf numFmtId="1" fontId="5" fillId="0" borderId="17" xfId="2" applyNumberFormat="1" applyFont="1" applyFill="1" applyBorder="1" applyAlignment="1" applyProtection="1">
      <alignment horizontal="center" vertical="center"/>
    </xf>
    <xf numFmtId="0" fontId="18" fillId="0" borderId="18" xfId="3" applyFont="1" applyFill="1" applyBorder="1" applyAlignment="1">
      <alignment horizontal="center" vertical="center" wrapText="1"/>
    </xf>
    <xf numFmtId="1" fontId="5" fillId="0" borderId="0" xfId="3" applyNumberFormat="1" applyFont="1" applyFill="1" applyBorder="1" applyAlignment="1">
      <alignment horizontal="center" vertical="center" wrapText="1"/>
    </xf>
    <xf numFmtId="4" fontId="18" fillId="0" borderId="0" xfId="3" applyNumberFormat="1" applyFont="1" applyFill="1" applyBorder="1" applyAlignment="1">
      <alignment horizontal="center" vertical="center" wrapText="1"/>
    </xf>
    <xf numFmtId="4" fontId="18" fillId="0" borderId="0" xfId="3" quotePrefix="1" applyNumberFormat="1" applyFont="1" applyBorder="1" applyAlignment="1">
      <alignment horizontal="left" vertical="center" wrapText="1"/>
    </xf>
    <xf numFmtId="1" fontId="5" fillId="3" borderId="57" xfId="3" applyNumberFormat="1" applyFont="1" applyFill="1" applyBorder="1" applyAlignment="1">
      <alignment horizontal="center" vertical="center" wrapText="1"/>
    </xf>
    <xf numFmtId="1" fontId="5" fillId="0" borderId="65" xfId="3" applyNumberFormat="1" applyFont="1" applyFill="1" applyBorder="1" applyAlignment="1">
      <alignment horizontal="center" vertical="center" wrapText="1"/>
    </xf>
    <xf numFmtId="4" fontId="18" fillId="3" borderId="58" xfId="3" applyNumberFormat="1" applyFont="1" applyFill="1" applyBorder="1" applyAlignment="1">
      <alignment horizontal="center" vertical="center" wrapText="1"/>
    </xf>
    <xf numFmtId="4" fontId="18" fillId="3" borderId="0" xfId="3" applyNumberFormat="1" applyFont="1" applyFill="1" applyBorder="1" applyAlignment="1">
      <alignment horizontal="center" vertical="center" wrapText="1"/>
    </xf>
    <xf numFmtId="0" fontId="62" fillId="0" borderId="0" xfId="2" applyFont="1" applyAlignment="1">
      <alignment horizontal="center" vertical="center"/>
    </xf>
    <xf numFmtId="0" fontId="62" fillId="0" borderId="0" xfId="5" applyFont="1" applyAlignment="1">
      <alignment horizontal="center" vertical="center"/>
    </xf>
    <xf numFmtId="0" fontId="62" fillId="0" borderId="0" xfId="2" applyFont="1" applyBorder="1" applyAlignment="1">
      <alignment horizontal="center" vertical="center"/>
    </xf>
    <xf numFmtId="0" fontId="63" fillId="0" borderId="0" xfId="2" applyFont="1" applyAlignment="1">
      <alignment horizontal="center" vertical="center"/>
    </xf>
    <xf numFmtId="0" fontId="63" fillId="0" borderId="0" xfId="2" applyFont="1" applyBorder="1" applyAlignment="1">
      <alignment horizontal="center" vertical="center"/>
    </xf>
    <xf numFmtId="0" fontId="64" fillId="0" borderId="0" xfId="2" applyFont="1" applyAlignment="1">
      <alignment horizontal="center" vertical="center"/>
    </xf>
    <xf numFmtId="0" fontId="65" fillId="0" borderId="0" xfId="2" applyFont="1" applyAlignment="1">
      <alignment horizontal="center" vertical="center"/>
    </xf>
    <xf numFmtId="0" fontId="63" fillId="0" borderId="0" xfId="5" applyFont="1" applyAlignment="1">
      <alignment horizontal="center" vertical="center"/>
    </xf>
    <xf numFmtId="0" fontId="64" fillId="0" borderId="0" xfId="2" applyFont="1" applyBorder="1" applyAlignment="1">
      <alignment horizontal="center" vertical="center"/>
    </xf>
    <xf numFmtId="0" fontId="62" fillId="0" borderId="0" xfId="2" applyFont="1" applyFill="1" applyAlignment="1">
      <alignment horizontal="center" vertical="center"/>
    </xf>
    <xf numFmtId="0" fontId="62" fillId="0" borderId="0" xfId="2" applyFont="1" applyFill="1" applyBorder="1" applyAlignment="1">
      <alignment horizontal="center" vertical="center"/>
    </xf>
    <xf numFmtId="0" fontId="63" fillId="0" borderId="0" xfId="2" applyFont="1" applyFill="1" applyBorder="1" applyAlignment="1">
      <alignment horizontal="center" vertical="center"/>
    </xf>
    <xf numFmtId="0" fontId="63" fillId="0" borderId="11" xfId="2" applyFont="1" applyFill="1" applyBorder="1" applyAlignment="1">
      <alignment horizontal="center" vertical="center"/>
    </xf>
    <xf numFmtId="0" fontId="64" fillId="0" borderId="0" xfId="2" applyFont="1" applyFill="1" applyAlignment="1">
      <alignment horizontal="center" vertical="center"/>
    </xf>
    <xf numFmtId="0" fontId="63" fillId="0" borderId="0" xfId="2" applyFont="1" applyFill="1" applyAlignment="1">
      <alignment horizontal="center" vertical="center"/>
    </xf>
    <xf numFmtId="0" fontId="65" fillId="0" borderId="0" xfId="2" applyFont="1" applyBorder="1" applyAlignment="1">
      <alignment horizontal="center" vertical="center"/>
    </xf>
    <xf numFmtId="4" fontId="62" fillId="0" borderId="0" xfId="5" applyNumberFormat="1" applyFont="1" applyAlignment="1">
      <alignment horizontal="center" vertical="center"/>
    </xf>
    <xf numFmtId="4" fontId="62" fillId="0" borderId="0" xfId="5" applyNumberFormat="1" applyFont="1" applyBorder="1" applyAlignment="1">
      <alignment horizontal="center" vertical="center"/>
    </xf>
    <xf numFmtId="4" fontId="64" fillId="0" borderId="0" xfId="5" applyNumberFormat="1" applyFont="1" applyAlignment="1">
      <alignment horizontal="center" vertical="center"/>
    </xf>
    <xf numFmtId="0" fontId="64" fillId="0" borderId="0" xfId="5" applyFont="1" applyAlignment="1">
      <alignment horizontal="center" vertical="center"/>
    </xf>
    <xf numFmtId="4" fontId="62" fillId="0" borderId="0" xfId="5" applyNumberFormat="1" applyFont="1" applyFill="1" applyAlignment="1">
      <alignment horizontal="center" vertical="center"/>
    </xf>
    <xf numFmtId="4" fontId="64" fillId="0" borderId="0" xfId="5" applyNumberFormat="1" applyFont="1" applyBorder="1" applyAlignment="1">
      <alignment horizontal="center" vertical="center"/>
    </xf>
    <xf numFmtId="4" fontId="63" fillId="0" borderId="0" xfId="5" applyNumberFormat="1" applyFont="1" applyBorder="1" applyAlignment="1">
      <alignment horizontal="center" vertical="center"/>
    </xf>
    <xf numFmtId="4" fontId="63" fillId="0" borderId="0" xfId="5" applyNumberFormat="1" applyFont="1" applyFill="1" applyAlignment="1">
      <alignment horizontal="center" vertical="center"/>
    </xf>
    <xf numFmtId="4" fontId="63" fillId="0" borderId="0" xfId="5" applyNumberFormat="1" applyFont="1" applyAlignment="1">
      <alignment horizontal="center" vertical="center"/>
    </xf>
    <xf numFmtId="4" fontId="62" fillId="0" borderId="0" xfId="7" applyNumberFormat="1" applyFont="1" applyAlignment="1">
      <alignment horizontal="center" vertical="center"/>
    </xf>
    <xf numFmtId="4" fontId="64" fillId="0" borderId="0" xfId="5" applyNumberFormat="1" applyFont="1" applyFill="1" applyBorder="1" applyAlignment="1">
      <alignment horizontal="center" vertical="center"/>
    </xf>
    <xf numFmtId="4" fontId="62" fillId="0" borderId="0" xfId="5" applyNumberFormat="1" applyFont="1" applyFill="1" applyBorder="1" applyAlignment="1">
      <alignment horizontal="center" vertical="center"/>
    </xf>
    <xf numFmtId="0" fontId="65" fillId="0" borderId="0" xfId="2" applyFont="1" applyFill="1" applyBorder="1" applyAlignment="1">
      <alignment horizontal="center" vertical="center"/>
    </xf>
    <xf numFmtId="0" fontId="62" fillId="0" borderId="0" xfId="0" applyFont="1" applyAlignment="1">
      <alignment horizontal="center" vertical="center"/>
    </xf>
    <xf numFmtId="0" fontId="62" fillId="0" borderId="0" xfId="0" applyFont="1" applyFill="1" applyAlignment="1">
      <alignment horizontal="center" vertical="center"/>
    </xf>
    <xf numFmtId="4" fontId="63" fillId="0" borderId="0" xfId="2" applyNumberFormat="1" applyFont="1" applyBorder="1" applyAlignment="1">
      <alignment horizontal="center" vertical="center"/>
    </xf>
    <xf numFmtId="1" fontId="26" fillId="0" borderId="42" xfId="5" applyNumberFormat="1" applyFont="1" applyBorder="1" applyAlignment="1" applyProtection="1">
      <alignment horizontal="center" vertical="center" wrapText="1"/>
    </xf>
    <xf numFmtId="1" fontId="5" fillId="3" borderId="57" xfId="2" applyNumberFormat="1" applyFont="1" applyFill="1" applyBorder="1" applyAlignment="1" applyProtection="1">
      <alignment horizontal="center" vertical="center"/>
    </xf>
    <xf numFmtId="1" fontId="5" fillId="0" borderId="57" xfId="3" applyNumberFormat="1" applyFont="1" applyFill="1" applyBorder="1" applyAlignment="1">
      <alignment horizontal="center" vertical="center" wrapText="1"/>
    </xf>
    <xf numFmtId="4" fontId="23" fillId="0" borderId="58" xfId="6" applyNumberFormat="1" applyFont="1" applyFill="1" applyBorder="1" applyAlignment="1">
      <alignment horizontal="center" vertical="center" wrapText="1"/>
    </xf>
    <xf numFmtId="4" fontId="18" fillId="0" borderId="34" xfId="6" applyNumberFormat="1" applyFont="1" applyFill="1" applyBorder="1" applyAlignment="1">
      <alignment horizontal="left" vertical="center" wrapText="1"/>
    </xf>
    <xf numFmtId="0" fontId="19" fillId="0" borderId="58" xfId="2" applyFont="1" applyBorder="1" applyAlignment="1" applyProtection="1">
      <alignment horizontal="left" vertical="center" wrapText="1"/>
    </xf>
    <xf numFmtId="0" fontId="19" fillId="6" borderId="65" xfId="2" applyFont="1" applyFill="1" applyBorder="1" applyAlignment="1" applyProtection="1">
      <alignment horizontal="center" vertical="center"/>
    </xf>
    <xf numFmtId="1" fontId="24" fillId="0" borderId="0" xfId="3" applyNumberFormat="1" applyFont="1" applyFill="1" applyBorder="1" applyAlignment="1">
      <alignment horizontal="center" vertical="center" wrapText="1"/>
    </xf>
    <xf numFmtId="4" fontId="23" fillId="0" borderId="0" xfId="3" applyNumberFormat="1" applyFont="1" applyFill="1" applyBorder="1" applyAlignment="1">
      <alignment horizontal="center" vertical="center" wrapText="1"/>
    </xf>
    <xf numFmtId="4" fontId="23" fillId="0" borderId="0" xfId="3" quotePrefix="1" applyNumberFormat="1" applyFont="1" applyBorder="1" applyAlignment="1">
      <alignment horizontal="left" vertical="center" wrapText="1"/>
    </xf>
    <xf numFmtId="1" fontId="5" fillId="3" borderId="0" xfId="3" applyNumberFormat="1" applyFont="1" applyFill="1" applyBorder="1" applyAlignment="1">
      <alignment horizontal="center" vertical="center" wrapText="1"/>
    </xf>
    <xf numFmtId="0" fontId="18" fillId="0" borderId="65" xfId="5" applyFont="1" applyBorder="1" applyAlignment="1" applyProtection="1">
      <alignment horizontal="center" vertical="center"/>
    </xf>
    <xf numFmtId="1" fontId="26" fillId="0" borderId="66" xfId="5" applyNumberFormat="1" applyFont="1" applyBorder="1" applyAlignment="1" applyProtection="1">
      <alignment horizontal="center" vertical="center" wrapText="1"/>
    </xf>
    <xf numFmtId="0" fontId="18" fillId="0" borderId="58" xfId="6" quotePrefix="1" applyFont="1" applyFill="1" applyBorder="1" applyAlignment="1">
      <alignment horizontal="left" vertical="center" wrapText="1"/>
    </xf>
    <xf numFmtId="0" fontId="4" fillId="3" borderId="25" xfId="2" applyFont="1" applyFill="1" applyBorder="1" applyAlignment="1">
      <alignment horizontal="center" vertical="center"/>
    </xf>
    <xf numFmtId="0" fontId="34" fillId="0" borderId="0" xfId="6" applyFont="1" applyFill="1" applyBorder="1" applyAlignment="1">
      <alignment horizontal="left" vertical="center" wrapText="1"/>
    </xf>
    <xf numFmtId="0" fontId="34" fillId="0" borderId="25" xfId="6" applyFont="1" applyFill="1" applyBorder="1" applyAlignment="1">
      <alignment horizontal="left" vertical="center" wrapText="1"/>
    </xf>
    <xf numFmtId="1" fontId="5" fillId="3" borderId="57" xfId="6" applyNumberFormat="1" applyFont="1" applyFill="1" applyBorder="1" applyAlignment="1">
      <alignment horizontal="center" vertical="center" wrapText="1"/>
    </xf>
    <xf numFmtId="1" fontId="5" fillId="0" borderId="57" xfId="2" applyNumberFormat="1" applyFont="1" applyFill="1" applyBorder="1" applyAlignment="1" applyProtection="1">
      <alignment horizontal="center" vertical="center"/>
    </xf>
    <xf numFmtId="0" fontId="18" fillId="0" borderId="58" xfId="2" applyFont="1" applyFill="1" applyBorder="1" applyAlignment="1" applyProtection="1">
      <alignment horizontal="center" vertical="center"/>
    </xf>
    <xf numFmtId="0" fontId="18" fillId="27" borderId="58" xfId="6" applyFont="1" applyFill="1" applyBorder="1" applyAlignment="1">
      <alignment horizontal="center" vertical="center" wrapText="1"/>
    </xf>
    <xf numFmtId="0" fontId="62" fillId="0" borderId="0" xfId="5" applyFont="1" applyBorder="1" applyAlignment="1">
      <alignment horizontal="center" vertical="center"/>
    </xf>
    <xf numFmtId="0" fontId="21" fillId="0" borderId="0" xfId="5" applyFont="1" applyBorder="1" applyAlignment="1">
      <alignment vertical="center"/>
    </xf>
    <xf numFmtId="1" fontId="5" fillId="27" borderId="57" xfId="2" applyNumberFormat="1" applyFont="1" applyFill="1" applyBorder="1" applyAlignment="1" applyProtection="1">
      <alignment horizontal="center" vertical="center"/>
    </xf>
    <xf numFmtId="0" fontId="18" fillId="27" borderId="58" xfId="2" applyFont="1" applyFill="1" applyBorder="1" applyAlignment="1" applyProtection="1">
      <alignment horizontal="center" vertical="center"/>
    </xf>
    <xf numFmtId="1" fontId="5" fillId="27" borderId="65" xfId="2" applyNumberFormat="1" applyFont="1" applyFill="1" applyBorder="1" applyAlignment="1" applyProtection="1">
      <alignment horizontal="center" vertical="center"/>
    </xf>
    <xf numFmtId="0" fontId="18" fillId="27" borderId="0" xfId="2" applyFont="1" applyFill="1" applyBorder="1" applyAlignment="1" applyProtection="1">
      <alignment horizontal="center" vertical="center"/>
    </xf>
    <xf numFmtId="4" fontId="18" fillId="0" borderId="65" xfId="2" applyNumberFormat="1" applyFont="1" applyBorder="1" applyAlignment="1" applyProtection="1">
      <alignment horizontal="right" vertical="center" wrapText="1"/>
    </xf>
    <xf numFmtId="4" fontId="18" fillId="0" borderId="66" xfId="2" applyNumberFormat="1" applyFont="1" applyBorder="1" applyAlignment="1" applyProtection="1">
      <alignment horizontal="right" vertical="center" wrapText="1"/>
    </xf>
    <xf numFmtId="4" fontId="27" fillId="0" borderId="71" xfId="3" applyNumberFormat="1" applyFont="1" applyBorder="1" applyAlignment="1">
      <alignment horizontal="left" vertical="center" wrapText="1"/>
    </xf>
    <xf numFmtId="0" fontId="68" fillId="0" borderId="0" xfId="5" applyFont="1" applyAlignment="1">
      <alignment horizontal="center" vertical="center"/>
    </xf>
    <xf numFmtId="4" fontId="67" fillId="0" borderId="0" xfId="5" applyNumberFormat="1" applyFont="1" applyAlignment="1">
      <alignment horizontal="center" vertical="center"/>
    </xf>
    <xf numFmtId="0" fontId="18" fillId="0" borderId="65" xfId="2" applyFont="1" applyFill="1" applyBorder="1" applyAlignment="1" applyProtection="1">
      <alignment horizontal="center" vertical="center"/>
    </xf>
    <xf numFmtId="1" fontId="18" fillId="0" borderId="66" xfId="2" applyNumberFormat="1" applyFont="1" applyFill="1" applyBorder="1" applyAlignment="1" applyProtection="1">
      <alignment horizontal="center" vertical="center"/>
    </xf>
    <xf numFmtId="0" fontId="18" fillId="0" borderId="65" xfId="2" applyFont="1" applyBorder="1" applyAlignment="1">
      <alignment vertical="center"/>
    </xf>
    <xf numFmtId="4" fontId="18" fillId="0" borderId="57" xfId="1" applyNumberFormat="1" applyFont="1" applyFill="1" applyBorder="1" applyAlignment="1" applyProtection="1">
      <alignment horizontal="right" vertical="center" wrapText="1"/>
    </xf>
    <xf numFmtId="4" fontId="18" fillId="0" borderId="59" xfId="1" applyNumberFormat="1" applyFont="1" applyFill="1" applyBorder="1" applyAlignment="1" applyProtection="1">
      <alignment horizontal="right" vertical="center" wrapText="1"/>
    </xf>
    <xf numFmtId="0" fontId="18" fillId="3" borderId="58" xfId="3" quotePrefix="1" applyFont="1" applyFill="1" applyBorder="1" applyAlignment="1">
      <alignment horizontal="center" vertical="center" wrapText="1"/>
    </xf>
    <xf numFmtId="0" fontId="18" fillId="0" borderId="62" xfId="3" applyFont="1" applyBorder="1" applyAlignment="1">
      <alignment horizontal="left" vertical="center" wrapText="1"/>
    </xf>
    <xf numFmtId="0" fontId="4" fillId="3" borderId="58" xfId="2" applyFont="1" applyFill="1" applyBorder="1" applyAlignment="1">
      <alignment horizontal="center" vertical="center"/>
    </xf>
    <xf numFmtId="4" fontId="11" fillId="0" borderId="65" xfId="4" applyNumberFormat="1" applyFont="1" applyFill="1" applyBorder="1" applyAlignment="1">
      <alignment horizontal="center" vertical="center" wrapText="1"/>
    </xf>
    <xf numFmtId="0" fontId="18" fillId="3" borderId="0" xfId="2" applyFont="1" applyFill="1" applyBorder="1" applyAlignment="1" applyProtection="1">
      <alignment horizontal="center" vertical="center"/>
    </xf>
    <xf numFmtId="4" fontId="18" fillId="0" borderId="59" xfId="3" applyNumberFormat="1" applyFont="1" applyFill="1" applyBorder="1" applyAlignment="1">
      <alignment horizontal="right" vertical="center" wrapText="1"/>
    </xf>
    <xf numFmtId="49" fontId="23" fillId="3" borderId="0" xfId="3" applyNumberFormat="1" applyFont="1" applyFill="1" applyBorder="1" applyAlignment="1">
      <alignment horizontal="center" vertical="center" wrapText="1"/>
    </xf>
    <xf numFmtId="0" fontId="18" fillId="3" borderId="0" xfId="3" applyFont="1" applyFill="1" applyBorder="1" applyAlignment="1">
      <alignment horizontal="center" vertical="center" wrapText="1"/>
    </xf>
    <xf numFmtId="1" fontId="5" fillId="3" borderId="65" xfId="2" applyNumberFormat="1" applyFont="1" applyFill="1" applyBorder="1" applyAlignment="1" applyProtection="1">
      <alignment horizontal="center" vertical="center"/>
    </xf>
    <xf numFmtId="0" fontId="19" fillId="0" borderId="65" xfId="6" applyFont="1" applyFill="1" applyBorder="1" applyAlignment="1">
      <alignment horizontal="left" vertical="center" wrapText="1"/>
    </xf>
    <xf numFmtId="0" fontId="21" fillId="0" borderId="0" xfId="2" applyFont="1" applyFill="1" applyBorder="1" applyAlignment="1">
      <alignment vertical="center"/>
    </xf>
    <xf numFmtId="0" fontId="38" fillId="0" borderId="58" xfId="0" applyFont="1" applyBorder="1" applyAlignment="1">
      <alignment horizontal="left" vertical="center" wrapText="1"/>
    </xf>
    <xf numFmtId="0" fontId="4" fillId="0" borderId="58" xfId="2" applyFont="1" applyFill="1" applyBorder="1" applyAlignment="1">
      <alignment horizontal="center" vertical="center"/>
    </xf>
    <xf numFmtId="1" fontId="24" fillId="0" borderId="65" xfId="2" applyNumberFormat="1" applyFont="1" applyFill="1" applyBorder="1" applyAlignment="1" applyProtection="1">
      <alignment horizontal="center" vertical="center"/>
    </xf>
    <xf numFmtId="0" fontId="7" fillId="0" borderId="0" xfId="2" applyFont="1" applyFill="1" applyBorder="1" applyAlignment="1">
      <alignment horizontal="center" vertical="center"/>
    </xf>
    <xf numFmtId="4" fontId="18" fillId="0" borderId="0" xfId="2" applyNumberFormat="1" applyFont="1" applyBorder="1" applyAlignment="1" applyProtection="1">
      <alignment horizontal="center" vertical="center" wrapText="1"/>
    </xf>
    <xf numFmtId="4" fontId="19" fillId="0" borderId="0" xfId="2" applyNumberFormat="1" applyFont="1" applyBorder="1" applyAlignment="1" applyProtection="1">
      <alignment horizontal="center" vertical="center" wrapText="1"/>
    </xf>
    <xf numFmtId="1" fontId="5" fillId="30" borderId="57" xfId="2" applyNumberFormat="1" applyFont="1" applyFill="1" applyBorder="1" applyAlignment="1" applyProtection="1">
      <alignment horizontal="center" vertical="center"/>
    </xf>
    <xf numFmtId="0" fontId="4" fillId="30" borderId="58" xfId="2" applyFont="1" applyFill="1" applyBorder="1" applyAlignment="1">
      <alignment horizontal="center" vertical="center"/>
    </xf>
    <xf numFmtId="1" fontId="5" fillId="30" borderId="0" xfId="2" applyNumberFormat="1" applyFont="1" applyFill="1" applyBorder="1" applyAlignment="1" applyProtection="1">
      <alignment horizontal="center" vertical="center"/>
    </xf>
    <xf numFmtId="1" fontId="4" fillId="30" borderId="0" xfId="5" applyNumberFormat="1" applyFont="1" applyFill="1" applyBorder="1" applyAlignment="1" applyProtection="1">
      <alignment horizontal="center" vertical="center" wrapText="1"/>
    </xf>
    <xf numFmtId="1" fontId="5" fillId="0" borderId="0" xfId="0" applyNumberFormat="1" applyFont="1" applyBorder="1" applyAlignment="1" applyProtection="1">
      <alignment horizontal="center" vertical="center"/>
    </xf>
    <xf numFmtId="0" fontId="18" fillId="0" borderId="0" xfId="0" applyFont="1" applyBorder="1" applyAlignment="1" applyProtection="1">
      <alignment horizontal="center" vertical="center"/>
    </xf>
    <xf numFmtId="0" fontId="18" fillId="3" borderId="58" xfId="3" applyFont="1" applyFill="1" applyBorder="1" applyAlignment="1">
      <alignment horizontal="center" vertical="center" wrapText="1"/>
    </xf>
    <xf numFmtId="0" fontId="18" fillId="0" borderId="62" xfId="3" applyFont="1" applyBorder="1" applyAlignment="1">
      <alignment horizontal="center" vertical="center" wrapText="1"/>
    </xf>
    <xf numFmtId="4" fontId="18" fillId="0" borderId="61" xfId="3" applyNumberFormat="1" applyFont="1" applyBorder="1" applyAlignment="1">
      <alignment horizontal="right" vertical="center" wrapText="1"/>
    </xf>
    <xf numFmtId="4" fontId="18" fillId="0" borderId="61" xfId="3" quotePrefix="1" applyNumberFormat="1" applyFont="1" applyBorder="1" applyAlignment="1">
      <alignment horizontal="right" vertical="center" wrapText="1"/>
    </xf>
    <xf numFmtId="0" fontId="18" fillId="0" borderId="27" xfId="2" applyFont="1" applyBorder="1" applyAlignment="1" applyProtection="1">
      <alignment horizontal="center" vertical="center"/>
    </xf>
    <xf numFmtId="1" fontId="24" fillId="0" borderId="29" xfId="3" applyNumberFormat="1" applyFont="1" applyFill="1" applyBorder="1" applyAlignment="1">
      <alignment horizontal="center" vertical="center" wrapText="1"/>
    </xf>
    <xf numFmtId="4" fontId="23" fillId="0" borderId="27" xfId="3" applyNumberFormat="1" applyFont="1" applyFill="1" applyBorder="1" applyAlignment="1">
      <alignment horizontal="center" vertical="center" wrapText="1"/>
    </xf>
    <xf numFmtId="1" fontId="5" fillId="0" borderId="29" xfId="2" applyNumberFormat="1" applyFont="1" applyFill="1" applyBorder="1" applyAlignment="1" applyProtection="1">
      <alignment horizontal="center" vertical="center"/>
    </xf>
    <xf numFmtId="0" fontId="18" fillId="0" borderId="27" xfId="3" applyFont="1" applyFill="1" applyBorder="1" applyAlignment="1">
      <alignment horizontal="center" vertical="center" wrapText="1"/>
    </xf>
    <xf numFmtId="0" fontId="18" fillId="0" borderId="58" xfId="3" applyFont="1" applyFill="1" applyBorder="1" applyAlignment="1">
      <alignment horizontal="center" vertical="center" wrapText="1"/>
    </xf>
    <xf numFmtId="0" fontId="18" fillId="0" borderId="58" xfId="3" applyFont="1" applyBorder="1" applyAlignment="1">
      <alignment vertical="center" wrapText="1"/>
    </xf>
    <xf numFmtId="4" fontId="18" fillId="0" borderId="65" xfId="3" applyNumberFormat="1" applyFont="1" applyFill="1" applyBorder="1" applyAlignment="1">
      <alignment horizontal="right" vertical="center" wrapText="1"/>
    </xf>
    <xf numFmtId="4" fontId="76" fillId="0" borderId="65" xfId="3" applyNumberFormat="1" applyFont="1" applyFill="1" applyBorder="1" applyAlignment="1">
      <alignment horizontal="right" vertical="center" wrapText="1"/>
    </xf>
    <xf numFmtId="4" fontId="6" fillId="0" borderId="0" xfId="2" applyNumberFormat="1" applyFont="1" applyBorder="1" applyAlignment="1" applyProtection="1">
      <alignment vertical="center" wrapText="1"/>
    </xf>
    <xf numFmtId="0" fontId="4" fillId="0" borderId="0" xfId="2" applyFont="1" applyBorder="1"/>
    <xf numFmtId="10" fontId="19" fillId="2" borderId="13" xfId="4" applyNumberFormat="1" applyFont="1" applyBorder="1" applyAlignment="1">
      <alignment horizontal="right" vertical="center" wrapText="1"/>
    </xf>
    <xf numFmtId="10" fontId="19" fillId="5" borderId="13" xfId="6" applyNumberFormat="1" applyFont="1" applyFill="1" applyBorder="1" applyAlignment="1">
      <alignment horizontal="right" vertical="center" wrapText="1"/>
    </xf>
    <xf numFmtId="10" fontId="18" fillId="0" borderId="1" xfId="3" applyNumberFormat="1" applyFont="1" applyBorder="1" applyAlignment="1">
      <alignment horizontal="right" vertical="center" wrapText="1"/>
    </xf>
    <xf numFmtId="10" fontId="19" fillId="5" borderId="7" xfId="6" applyNumberFormat="1" applyFont="1" applyFill="1" applyBorder="1" applyAlignment="1">
      <alignment horizontal="right" vertical="center" wrapText="1"/>
    </xf>
    <xf numFmtId="10" fontId="18" fillId="0" borderId="23" xfId="3" applyNumberFormat="1" applyFont="1" applyBorder="1" applyAlignment="1">
      <alignment horizontal="right" vertical="center" wrapText="1"/>
    </xf>
    <xf numFmtId="10" fontId="18" fillId="0" borderId="59" xfId="3" applyNumberFormat="1" applyFont="1" applyBorder="1" applyAlignment="1">
      <alignment horizontal="right" vertical="center" wrapText="1"/>
    </xf>
    <xf numFmtId="10" fontId="23" fillId="0" borderId="66" xfId="3" applyNumberFormat="1" applyFont="1" applyBorder="1" applyAlignment="1">
      <alignment horizontal="right" vertical="center" wrapText="1"/>
    </xf>
    <xf numFmtId="10" fontId="18" fillId="0" borderId="66" xfId="3" applyNumberFormat="1" applyFont="1" applyBorder="1" applyAlignment="1">
      <alignment horizontal="right" vertical="center" wrapText="1"/>
    </xf>
    <xf numFmtId="10" fontId="18" fillId="0" borderId="60" xfId="3" applyNumberFormat="1" applyFont="1" applyBorder="1" applyAlignment="1">
      <alignment horizontal="right" vertical="center" wrapText="1"/>
    </xf>
    <xf numFmtId="10" fontId="18" fillId="0" borderId="31" xfId="3" applyNumberFormat="1" applyFont="1" applyBorder="1" applyAlignment="1">
      <alignment horizontal="right" vertical="center" wrapText="1"/>
    </xf>
    <xf numFmtId="10" fontId="19" fillId="0" borderId="23" xfId="3" applyNumberFormat="1" applyFont="1" applyBorder="1" applyAlignment="1">
      <alignment horizontal="right" vertical="center" wrapText="1"/>
    </xf>
    <xf numFmtId="10" fontId="18" fillId="0" borderId="42" xfId="3" applyNumberFormat="1" applyFont="1" applyBorder="1" applyAlignment="1">
      <alignment horizontal="right" vertical="center" wrapText="1"/>
    </xf>
    <xf numFmtId="10" fontId="18" fillId="0" borderId="16" xfId="3" applyNumberFormat="1" applyFont="1" applyBorder="1" applyAlignment="1">
      <alignment horizontal="right" vertical="center" wrapText="1"/>
    </xf>
    <xf numFmtId="10" fontId="18" fillId="0" borderId="9" xfId="6" applyNumberFormat="1" applyFont="1" applyFill="1" applyBorder="1" applyAlignment="1">
      <alignment horizontal="right" vertical="center" wrapText="1"/>
    </xf>
    <xf numFmtId="10" fontId="23" fillId="0" borderId="42" xfId="6" applyNumberFormat="1" applyFont="1" applyFill="1" applyBorder="1" applyAlignment="1">
      <alignment horizontal="right" vertical="center" wrapText="1"/>
    </xf>
    <xf numFmtId="10" fontId="18" fillId="0" borderId="66" xfId="6" applyNumberFormat="1" applyFont="1" applyFill="1" applyBorder="1" applyAlignment="1">
      <alignment horizontal="right" vertical="center" wrapText="1"/>
    </xf>
    <xf numFmtId="10" fontId="18" fillId="0" borderId="9" xfId="3" applyNumberFormat="1" applyFont="1" applyBorder="1" applyAlignment="1">
      <alignment horizontal="right" vertical="center" wrapText="1"/>
    </xf>
    <xf numFmtId="10" fontId="23" fillId="0" borderId="1" xfId="3" applyNumberFormat="1" applyFont="1" applyBorder="1" applyAlignment="1">
      <alignment horizontal="right" vertical="center" wrapText="1"/>
    </xf>
    <xf numFmtId="10" fontId="37" fillId="0" borderId="1" xfId="3" applyNumberFormat="1" applyFont="1" applyBorder="1" applyAlignment="1">
      <alignment horizontal="right" vertical="center" wrapText="1"/>
    </xf>
    <xf numFmtId="10" fontId="18" fillId="0" borderId="26" xfId="3" applyNumberFormat="1" applyFont="1" applyBorder="1" applyAlignment="1">
      <alignment horizontal="right" vertical="center" wrapText="1"/>
    </xf>
    <xf numFmtId="10" fontId="18" fillId="0" borderId="38" xfId="3" applyNumberFormat="1" applyFont="1" applyBorder="1" applyAlignment="1">
      <alignment horizontal="right" vertical="center" wrapText="1"/>
    </xf>
    <xf numFmtId="10" fontId="19" fillId="0" borderId="1" xfId="6" applyNumberFormat="1" applyFont="1" applyFill="1" applyBorder="1" applyAlignment="1">
      <alignment horizontal="right" vertical="center" wrapText="1"/>
    </xf>
    <xf numFmtId="10" fontId="19" fillId="0" borderId="42" xfId="6" applyNumberFormat="1" applyFont="1" applyFill="1" applyBorder="1" applyAlignment="1">
      <alignment horizontal="right" vertical="center" wrapText="1"/>
    </xf>
    <xf numFmtId="10" fontId="19" fillId="0" borderId="9" xfId="3" applyNumberFormat="1" applyFont="1" applyBorder="1" applyAlignment="1">
      <alignment horizontal="right" vertical="center" wrapText="1"/>
    </xf>
    <xf numFmtId="10" fontId="19" fillId="0" borderId="42" xfId="1" applyNumberFormat="1" applyFont="1" applyFill="1" applyBorder="1" applyAlignment="1" applyProtection="1">
      <alignment horizontal="right" vertical="center" wrapText="1"/>
    </xf>
    <xf numFmtId="10" fontId="18" fillId="0" borderId="9" xfId="3" applyNumberFormat="1" applyFont="1" applyFill="1" applyBorder="1" applyAlignment="1">
      <alignment horizontal="right" vertical="center" wrapText="1"/>
    </xf>
    <xf numFmtId="10" fontId="18" fillId="0" borderId="42" xfId="3" applyNumberFormat="1" applyFont="1" applyFill="1" applyBorder="1" applyAlignment="1">
      <alignment horizontal="right" vertical="center" wrapText="1"/>
    </xf>
    <xf numFmtId="10" fontId="23" fillId="0" borderId="42" xfId="3" applyNumberFormat="1" applyFont="1" applyFill="1" applyBorder="1" applyAlignment="1">
      <alignment horizontal="right" vertical="center" wrapText="1"/>
    </xf>
    <xf numFmtId="10" fontId="18" fillId="0" borderId="59" xfId="0" applyNumberFormat="1" applyFont="1" applyFill="1" applyBorder="1" applyAlignment="1">
      <alignment horizontal="right" vertical="center" wrapText="1"/>
    </xf>
    <xf numFmtId="10" fontId="19" fillId="5" borderId="9" xfId="3" applyNumberFormat="1" applyFont="1" applyFill="1" applyBorder="1" applyAlignment="1">
      <alignment horizontal="right" vertical="center" wrapText="1"/>
    </xf>
    <xf numFmtId="10" fontId="23" fillId="0" borderId="28" xfId="3" applyNumberFormat="1" applyFont="1" applyBorder="1" applyAlignment="1">
      <alignment horizontal="right" vertical="center" wrapText="1"/>
    </xf>
    <xf numFmtId="10" fontId="19" fillId="2" borderId="13" xfId="2" applyNumberFormat="1" applyFont="1" applyFill="1" applyBorder="1" applyAlignment="1" applyProtection="1">
      <alignment horizontal="right" vertical="center" wrapText="1"/>
    </xf>
    <xf numFmtId="10" fontId="19" fillId="5" borderId="1" xfId="6" applyNumberFormat="1" applyFont="1" applyFill="1" applyBorder="1" applyAlignment="1">
      <alignment horizontal="right" vertical="center" wrapText="1"/>
    </xf>
    <xf numFmtId="10" fontId="18" fillId="0" borderId="1" xfId="2" applyNumberFormat="1" applyFont="1" applyBorder="1" applyAlignment="1" applyProtection="1">
      <alignment horizontal="right" vertical="center"/>
    </xf>
    <xf numFmtId="10" fontId="18" fillId="0" borderId="16" xfId="2" applyNumberFormat="1" applyFont="1" applyBorder="1" applyAlignment="1" applyProtection="1">
      <alignment horizontal="right" vertical="center"/>
    </xf>
    <xf numFmtId="10" fontId="18" fillId="0" borderId="7" xfId="2" applyNumberFormat="1" applyFont="1" applyBorder="1" applyAlignment="1" applyProtection="1">
      <alignment horizontal="right" vertical="center"/>
    </xf>
    <xf numFmtId="10" fontId="23" fillId="0" borderId="42" xfId="3" applyNumberFormat="1" applyFont="1" applyBorder="1" applyAlignment="1">
      <alignment horizontal="right" vertical="center" wrapText="1"/>
    </xf>
    <xf numFmtId="10" fontId="23" fillId="0" borderId="1" xfId="1" applyNumberFormat="1" applyFont="1" applyFill="1" applyBorder="1" applyAlignment="1" applyProtection="1">
      <alignment horizontal="right" vertical="center" wrapText="1"/>
    </xf>
    <xf numFmtId="10" fontId="18" fillId="0" borderId="59" xfId="1" applyNumberFormat="1" applyFont="1" applyFill="1" applyBorder="1" applyAlignment="1" applyProtection="1">
      <alignment horizontal="right" vertical="center" wrapText="1"/>
    </xf>
    <xf numFmtId="10" fontId="19" fillId="5" borderId="13" xfId="2" applyNumberFormat="1" applyFont="1" applyFill="1" applyBorder="1" applyAlignment="1" applyProtection="1">
      <alignment horizontal="right" vertical="center" wrapText="1"/>
    </xf>
    <xf numFmtId="10" fontId="18" fillId="0" borderId="1" xfId="1" applyNumberFormat="1" applyFont="1" applyFill="1" applyBorder="1" applyAlignment="1" applyProtection="1">
      <alignment horizontal="right" vertical="center" wrapText="1"/>
    </xf>
    <xf numFmtId="10" fontId="19" fillId="0" borderId="9" xfId="6" applyNumberFormat="1" applyFont="1" applyFill="1" applyBorder="1" applyAlignment="1">
      <alignment horizontal="right" vertical="center" wrapText="1"/>
    </xf>
    <xf numFmtId="10" fontId="19" fillId="0" borderId="23" xfId="2" applyNumberFormat="1" applyFont="1" applyBorder="1" applyAlignment="1" applyProtection="1">
      <alignment horizontal="right" vertical="center"/>
    </xf>
    <xf numFmtId="10" fontId="18" fillId="0" borderId="14" xfId="3" applyNumberFormat="1" applyFont="1" applyBorder="1" applyAlignment="1">
      <alignment horizontal="right" vertical="center" wrapText="1"/>
    </xf>
    <xf numFmtId="10" fontId="18" fillId="0" borderId="60" xfId="2" applyNumberFormat="1" applyFont="1" applyBorder="1" applyAlignment="1" applyProtection="1">
      <alignment horizontal="right" vertical="center"/>
    </xf>
    <xf numFmtId="10" fontId="18" fillId="0" borderId="37" xfId="3" applyNumberFormat="1" applyFont="1" applyBorder="1" applyAlignment="1">
      <alignment horizontal="right" vertical="center" wrapText="1"/>
    </xf>
    <xf numFmtId="10" fontId="18" fillId="0" borderId="20" xfId="3" applyNumberFormat="1" applyFont="1" applyBorder="1" applyAlignment="1">
      <alignment horizontal="right" vertical="center" wrapText="1"/>
    </xf>
    <xf numFmtId="10" fontId="19" fillId="0" borderId="42" xfId="3" applyNumberFormat="1" applyFont="1" applyBorder="1" applyAlignment="1">
      <alignment horizontal="right" vertical="center" wrapText="1"/>
    </xf>
    <xf numFmtId="10" fontId="19" fillId="0" borderId="59" xfId="3" applyNumberFormat="1" applyFont="1" applyBorder="1" applyAlignment="1">
      <alignment horizontal="right" vertical="center" wrapText="1"/>
    </xf>
    <xf numFmtId="10" fontId="19" fillId="6" borderId="23" xfId="6" applyNumberFormat="1" applyFont="1" applyFill="1" applyBorder="1" applyAlignment="1">
      <alignment horizontal="right" vertical="center" wrapText="1"/>
    </xf>
    <xf numFmtId="10" fontId="19" fillId="0" borderId="23" xfId="6" applyNumberFormat="1" applyFont="1" applyFill="1" applyBorder="1" applyAlignment="1">
      <alignment horizontal="right" vertical="center" wrapText="1"/>
    </xf>
    <xf numFmtId="10" fontId="19" fillId="0" borderId="66" xfId="6" applyNumberFormat="1" applyFont="1" applyFill="1" applyBorder="1" applyAlignment="1">
      <alignment horizontal="right" vertical="center" wrapText="1"/>
    </xf>
    <xf numFmtId="10" fontId="23" fillId="0" borderId="36" xfId="3" applyNumberFormat="1" applyFont="1" applyBorder="1" applyAlignment="1">
      <alignment horizontal="right" vertical="center" wrapText="1"/>
    </xf>
    <xf numFmtId="10" fontId="19" fillId="0" borderId="59" xfId="6" applyNumberFormat="1" applyFont="1" applyFill="1" applyBorder="1" applyAlignment="1">
      <alignment horizontal="right" vertical="center" wrapText="1"/>
    </xf>
    <xf numFmtId="10" fontId="23" fillId="0" borderId="66" xfId="6" applyNumberFormat="1" applyFont="1" applyFill="1" applyBorder="1" applyAlignment="1">
      <alignment horizontal="right" vertical="center" wrapText="1"/>
    </xf>
    <xf numFmtId="10" fontId="18" fillId="0" borderId="23" xfId="2" applyNumberFormat="1" applyFont="1" applyBorder="1" applyAlignment="1" applyProtection="1">
      <alignment horizontal="right" vertical="center"/>
    </xf>
    <xf numFmtId="10" fontId="18" fillId="0" borderId="66" xfId="2" applyNumberFormat="1" applyFont="1" applyBorder="1" applyAlignment="1" applyProtection="1">
      <alignment horizontal="right" vertical="center"/>
    </xf>
    <xf numFmtId="10" fontId="19" fillId="0" borderId="9" xfId="2" applyNumberFormat="1" applyFont="1" applyBorder="1" applyAlignment="1" applyProtection="1">
      <alignment horizontal="right" vertical="center"/>
    </xf>
    <xf numFmtId="10" fontId="23" fillId="0" borderId="36" xfId="2" applyNumberFormat="1" applyFont="1" applyBorder="1" applyAlignment="1" applyProtection="1">
      <alignment horizontal="right" vertical="center" wrapText="1"/>
    </xf>
    <xf numFmtId="10" fontId="62" fillId="0" borderId="0" xfId="2" applyNumberFormat="1" applyFont="1" applyBorder="1" applyAlignment="1">
      <alignment horizontal="center" vertical="center"/>
    </xf>
    <xf numFmtId="10" fontId="18" fillId="0" borderId="59" xfId="2" applyNumberFormat="1" applyFont="1" applyBorder="1" applyAlignment="1" applyProtection="1">
      <alignment horizontal="right" vertical="center"/>
    </xf>
    <xf numFmtId="10" fontId="19" fillId="0" borderId="16" xfId="3" applyNumberFormat="1" applyFont="1" applyBorder="1" applyAlignment="1">
      <alignment horizontal="right" vertical="center" wrapText="1"/>
    </xf>
    <xf numFmtId="10" fontId="19" fillId="0" borderId="1" xfId="3" applyNumberFormat="1" applyFont="1" applyBorder="1" applyAlignment="1">
      <alignment horizontal="right" vertical="center" wrapText="1"/>
    </xf>
    <xf numFmtId="10" fontId="19" fillId="0" borderId="20" xfId="3" applyNumberFormat="1" applyFont="1" applyBorder="1" applyAlignment="1">
      <alignment horizontal="right" vertical="center" wrapText="1"/>
    </xf>
    <xf numFmtId="10" fontId="18" fillId="0" borderId="53" xfId="3" applyNumberFormat="1" applyFont="1" applyBorder="1" applyAlignment="1">
      <alignment horizontal="right" vertical="center" wrapText="1"/>
    </xf>
    <xf numFmtId="10" fontId="19" fillId="0" borderId="66" xfId="3" applyNumberFormat="1" applyFont="1" applyBorder="1" applyAlignment="1">
      <alignment horizontal="right" vertical="center" wrapText="1"/>
    </xf>
    <xf numFmtId="10" fontId="19" fillId="0" borderId="28" xfId="3" applyNumberFormat="1" applyFont="1" applyBorder="1" applyAlignment="1">
      <alignment horizontal="right" vertical="center" wrapText="1"/>
    </xf>
    <xf numFmtId="10" fontId="19" fillId="5" borderId="13" xfId="3" applyNumberFormat="1" applyFont="1" applyFill="1" applyBorder="1" applyAlignment="1">
      <alignment horizontal="right" vertical="center"/>
    </xf>
    <xf numFmtId="10" fontId="18" fillId="0" borderId="9" xfId="2" applyNumberFormat="1" applyFont="1" applyBorder="1" applyAlignment="1" applyProtection="1">
      <alignment horizontal="right" vertical="center"/>
    </xf>
    <xf numFmtId="10" fontId="62" fillId="0" borderId="0" xfId="2" applyNumberFormat="1" applyFont="1" applyFill="1" applyAlignment="1">
      <alignment horizontal="center" vertical="center"/>
    </xf>
    <xf numFmtId="10" fontId="18" fillId="0" borderId="60" xfId="6" applyNumberFormat="1" applyFont="1" applyFill="1" applyBorder="1" applyAlignment="1">
      <alignment horizontal="right" vertical="center" wrapText="1"/>
    </xf>
    <xf numFmtId="10" fontId="18" fillId="0" borderId="59" xfId="3" applyNumberFormat="1" applyFont="1" applyFill="1" applyBorder="1" applyAlignment="1">
      <alignment horizontal="right" vertical="center" wrapText="1"/>
    </xf>
    <xf numFmtId="10" fontId="18" fillId="0" borderId="23" xfId="6" applyNumberFormat="1" applyFont="1" applyFill="1" applyBorder="1" applyAlignment="1">
      <alignment horizontal="right" vertical="center" wrapText="1"/>
    </xf>
    <xf numFmtId="10" fontId="15" fillId="4" borderId="56" xfId="5" applyNumberFormat="1" applyFont="1" applyFill="1" applyBorder="1" applyAlignment="1" applyProtection="1">
      <alignment horizontal="right" vertical="center"/>
    </xf>
    <xf numFmtId="10" fontId="19" fillId="2" borderId="64" xfId="5" applyNumberFormat="1" applyFont="1" applyFill="1" applyBorder="1" applyAlignment="1" applyProtection="1">
      <alignment horizontal="right" vertical="center"/>
    </xf>
    <xf numFmtId="10" fontId="18" fillId="0" borderId="9" xfId="5" applyNumberFormat="1" applyFont="1" applyFill="1" applyBorder="1" applyAlignment="1" applyProtection="1">
      <alignment horizontal="right" vertical="center"/>
    </xf>
    <xf numFmtId="10" fontId="15" fillId="4" borderId="5" xfId="5" applyNumberFormat="1" applyFont="1" applyFill="1" applyBorder="1" applyAlignment="1" applyProtection="1">
      <alignment horizontal="right" vertical="center"/>
    </xf>
    <xf numFmtId="10" fontId="4" fillId="0" borderId="0" xfId="3" applyNumberFormat="1" applyFont="1" applyBorder="1" applyAlignment="1">
      <alignment horizontal="right" vertical="center" wrapText="1"/>
    </xf>
    <xf numFmtId="10" fontId="13" fillId="0" borderId="0" xfId="3" applyNumberFormat="1" applyFont="1" applyBorder="1" applyAlignment="1">
      <alignment horizontal="right" vertical="center" wrapText="1"/>
    </xf>
    <xf numFmtId="10" fontId="4" fillId="0" borderId="0" xfId="2" applyNumberFormat="1" applyFont="1" applyBorder="1" applyAlignment="1" applyProtection="1">
      <alignment horizontal="right" vertical="center"/>
    </xf>
    <xf numFmtId="10" fontId="4" fillId="0" borderId="1" xfId="2" applyNumberFormat="1" applyFont="1" applyBorder="1" applyAlignment="1" applyProtection="1">
      <alignment horizontal="right" vertical="center"/>
    </xf>
    <xf numFmtId="10" fontId="1" fillId="0" borderId="1" xfId="2" applyNumberFormat="1" applyFont="1" applyBorder="1" applyAlignment="1" applyProtection="1">
      <alignment horizontal="right" vertical="center"/>
    </xf>
    <xf numFmtId="1" fontId="19" fillId="0" borderId="69" xfId="6" quotePrefix="1" applyNumberFormat="1" applyFont="1" applyFill="1" applyBorder="1" applyAlignment="1">
      <alignment horizontal="center" vertical="center" wrapText="1"/>
    </xf>
    <xf numFmtId="0" fontId="78" fillId="0" borderId="72" xfId="49" quotePrefix="1" applyNumberFormat="1" applyFont="1" applyBorder="1" applyAlignment="1">
      <alignment horizontal="left" vertical="center" wrapText="1"/>
    </xf>
    <xf numFmtId="2" fontId="18" fillId="0" borderId="68" xfId="3" quotePrefix="1" applyNumberFormat="1" applyFont="1" applyBorder="1" applyAlignment="1">
      <alignment horizontal="right" vertical="center" wrapText="1"/>
    </xf>
    <xf numFmtId="2" fontId="18" fillId="0" borderId="69" xfId="3" quotePrefix="1" applyNumberFormat="1" applyFont="1" applyBorder="1" applyAlignment="1">
      <alignment horizontal="right" vertical="center" wrapText="1"/>
    </xf>
    <xf numFmtId="2" fontId="19" fillId="0" borderId="69" xfId="6" applyNumberFormat="1" applyFont="1" applyFill="1" applyBorder="1" applyAlignment="1">
      <alignment horizontal="right" vertical="center" wrapText="1"/>
    </xf>
    <xf numFmtId="167" fontId="18" fillId="0" borderId="69" xfId="3" applyNumberFormat="1" applyFont="1" applyBorder="1" applyAlignment="1">
      <alignment horizontal="right" vertical="center" wrapText="1"/>
    </xf>
    <xf numFmtId="4" fontId="79" fillId="0" borderId="69" xfId="50" applyNumberFormat="1" applyFont="1" applyBorder="1" applyAlignment="1">
      <alignment horizontal="right" vertical="center" wrapText="1"/>
    </xf>
    <xf numFmtId="4" fontId="79" fillId="0" borderId="70" xfId="50" applyNumberFormat="1" applyFont="1" applyBorder="1" applyAlignment="1">
      <alignment horizontal="right" vertical="center" wrapText="1"/>
    </xf>
    <xf numFmtId="4" fontId="80" fillId="0" borderId="0" xfId="5" applyNumberFormat="1" applyFont="1" applyAlignment="1">
      <alignment horizontal="center" vertical="center"/>
    </xf>
    <xf numFmtId="4" fontId="81" fillId="0" borderId="0" xfId="5" applyNumberFormat="1" applyFont="1" applyAlignment="1">
      <alignment horizontal="center" vertical="center"/>
    </xf>
    <xf numFmtId="0" fontId="82" fillId="0" borderId="36" xfId="49" applyNumberFormat="1" applyFont="1" applyBorder="1" applyAlignment="1">
      <alignment horizontal="left" vertical="center" wrapText="1"/>
    </xf>
    <xf numFmtId="0" fontId="83" fillId="0" borderId="0" xfId="5" applyFont="1" applyAlignment="1">
      <alignment horizontal="center" vertical="center"/>
    </xf>
    <xf numFmtId="0" fontId="84" fillId="0" borderId="0" xfId="5" applyFont="1" applyAlignment="1">
      <alignment horizontal="center" vertical="center"/>
    </xf>
    <xf numFmtId="0" fontId="29" fillId="0" borderId="36" xfId="49" quotePrefix="1" applyNumberFormat="1" applyFont="1" applyBorder="1" applyAlignment="1">
      <alignment horizontal="left" vertical="center" wrapText="1"/>
    </xf>
    <xf numFmtId="4" fontId="85" fillId="0" borderId="69" xfId="50" applyNumberFormat="1" applyFont="1" applyBorder="1" applyAlignment="1">
      <alignment horizontal="right" vertical="center" wrapText="1"/>
    </xf>
    <xf numFmtId="4" fontId="85" fillId="0" borderId="70" xfId="50" applyNumberFormat="1" applyFont="1" applyBorder="1" applyAlignment="1">
      <alignment horizontal="right" vertical="center" wrapText="1"/>
    </xf>
    <xf numFmtId="1" fontId="24" fillId="0" borderId="65" xfId="6" applyNumberFormat="1" applyFont="1" applyFill="1" applyBorder="1" applyAlignment="1">
      <alignment horizontal="center" vertical="center" wrapText="1"/>
    </xf>
    <xf numFmtId="0" fontId="29" fillId="0" borderId="72" xfId="49" quotePrefix="1" applyNumberFormat="1" applyFont="1" applyBorder="1" applyAlignment="1">
      <alignment horizontal="left" vertical="center" wrapText="1"/>
    </xf>
    <xf numFmtId="4" fontId="29" fillId="0" borderId="69" xfId="50" applyNumberFormat="1" applyFont="1" applyBorder="1" applyAlignment="1">
      <alignment horizontal="right" vertical="center" wrapText="1"/>
    </xf>
    <xf numFmtId="4" fontId="29" fillId="0" borderId="70" xfId="50" applyNumberFormat="1" applyFont="1" applyBorder="1" applyAlignment="1">
      <alignment horizontal="right" vertical="center" wrapText="1"/>
    </xf>
    <xf numFmtId="0" fontId="29" fillId="0" borderId="72" xfId="49" quotePrefix="1" applyNumberFormat="1" applyFont="1" applyBorder="1" applyAlignment="1" applyProtection="1">
      <alignment vertical="center" wrapText="1"/>
      <protection locked="0"/>
    </xf>
    <xf numFmtId="4" fontId="29" fillId="0" borderId="69" xfId="50" applyNumberFormat="1" applyFont="1" applyBorder="1" applyAlignment="1">
      <alignment horizontal="left" vertical="center" wrapText="1"/>
    </xf>
    <xf numFmtId="4" fontId="64" fillId="0" borderId="65" xfId="2" applyNumberFormat="1" applyFont="1" applyBorder="1" applyAlignment="1" applyProtection="1">
      <alignment horizontal="center" vertical="center" wrapText="1"/>
    </xf>
    <xf numFmtId="4" fontId="62" fillId="0" borderId="0" xfId="2" applyNumberFormat="1" applyFont="1" applyBorder="1" applyAlignment="1">
      <alignment horizontal="center"/>
    </xf>
    <xf numFmtId="4" fontId="62" fillId="0" borderId="0" xfId="2" applyNumberFormat="1" applyFont="1" applyAlignment="1">
      <alignment horizontal="center"/>
    </xf>
    <xf numFmtId="0" fontId="62" fillId="0" borderId="0" xfId="2" applyFont="1" applyAlignment="1">
      <alignment horizontal="center"/>
    </xf>
    <xf numFmtId="0" fontId="23" fillId="0" borderId="27" xfId="2" applyFont="1" applyBorder="1" applyAlignment="1" applyProtection="1">
      <alignment vertical="center" wrapText="1"/>
    </xf>
    <xf numFmtId="0" fontId="23" fillId="0" borderId="0" xfId="2" applyFont="1" applyBorder="1" applyAlignment="1" applyProtection="1">
      <alignment vertical="center" wrapText="1"/>
    </xf>
    <xf numFmtId="0" fontId="23" fillId="0" borderId="68" xfId="2" applyFont="1" applyBorder="1" applyAlignment="1" applyProtection="1">
      <alignment horizontal="right" vertical="center" wrapText="1"/>
    </xf>
    <xf numFmtId="0" fontId="23" fillId="0" borderId="66" xfId="2" applyFont="1" applyBorder="1" applyAlignment="1" applyProtection="1">
      <alignment horizontal="right" vertical="center" wrapText="1"/>
    </xf>
    <xf numFmtId="4" fontId="23" fillId="0" borderId="66" xfId="2" applyNumberFormat="1" applyFont="1" applyBorder="1" applyAlignment="1" applyProtection="1">
      <alignment vertical="center" wrapText="1"/>
    </xf>
    <xf numFmtId="4" fontId="23" fillId="0" borderId="28" xfId="2" applyNumberFormat="1" applyFont="1" applyBorder="1" applyAlignment="1" applyProtection="1">
      <alignment vertical="center" wrapText="1"/>
    </xf>
    <xf numFmtId="10" fontId="23" fillId="0" borderId="28" xfId="2" applyNumberFormat="1" applyFont="1" applyBorder="1" applyAlignment="1" applyProtection="1">
      <alignment vertical="center" wrapText="1"/>
    </xf>
    <xf numFmtId="0" fontId="32" fillId="28" borderId="0" xfId="5" applyFont="1" applyFill="1" applyAlignment="1">
      <alignment vertical="center"/>
    </xf>
    <xf numFmtId="4" fontId="86" fillId="0" borderId="0" xfId="5" applyNumberFormat="1" applyFont="1" applyAlignment="1">
      <alignment horizontal="center" vertical="center"/>
    </xf>
    <xf numFmtId="0" fontId="87" fillId="0" borderId="0" xfId="5" applyFont="1" applyAlignment="1">
      <alignment horizontal="center" vertical="center"/>
    </xf>
    <xf numFmtId="4" fontId="29" fillId="0" borderId="68" xfId="50" applyNumberFormat="1" applyFont="1" applyBorder="1" applyAlignment="1">
      <alignment horizontal="left" vertical="center" wrapText="1"/>
    </xf>
    <xf numFmtId="4" fontId="29" fillId="0" borderId="66" xfId="50" applyNumberFormat="1" applyFont="1" applyBorder="1" applyAlignment="1">
      <alignment horizontal="left" vertical="center" wrapText="1"/>
    </xf>
    <xf numFmtId="4" fontId="29" fillId="0" borderId="66" xfId="50" applyNumberFormat="1" applyFont="1" applyBorder="1" applyAlignment="1">
      <alignment horizontal="right" vertical="center" wrapText="1"/>
    </xf>
    <xf numFmtId="0" fontId="29" fillId="0" borderId="72" xfId="49" quotePrefix="1" applyNumberFormat="1" applyFont="1" applyBorder="1" applyAlignment="1">
      <alignment horizontal="justify" vertical="center" wrapText="1"/>
    </xf>
    <xf numFmtId="1" fontId="5" fillId="3" borderId="0" xfId="6" applyNumberFormat="1" applyFont="1" applyFill="1" applyBorder="1" applyAlignment="1">
      <alignment horizontal="center" vertical="center" wrapText="1"/>
    </xf>
    <xf numFmtId="0" fontId="18" fillId="27" borderId="0" xfId="6" applyFont="1" applyFill="1" applyBorder="1" applyAlignment="1">
      <alignment horizontal="center" vertical="center" wrapText="1"/>
    </xf>
    <xf numFmtId="1" fontId="5" fillId="0" borderId="32" xfId="6" applyNumberFormat="1" applyFont="1" applyFill="1" applyBorder="1" applyAlignment="1">
      <alignment horizontal="center" vertical="center" wrapText="1"/>
    </xf>
    <xf numFmtId="0" fontId="18" fillId="0" borderId="33" xfId="6" applyFont="1" applyFill="1" applyBorder="1" applyAlignment="1">
      <alignment horizontal="center" vertical="center" wrapText="1"/>
    </xf>
    <xf numFmtId="0" fontId="18" fillId="0" borderId="33" xfId="6" applyFont="1" applyFill="1" applyBorder="1" applyAlignment="1">
      <alignment horizontal="left" vertical="center" wrapText="1"/>
    </xf>
    <xf numFmtId="4" fontId="18" fillId="0" borderId="32" xfId="6" applyNumberFormat="1" applyFont="1" applyFill="1" applyBorder="1" applyAlignment="1">
      <alignment horizontal="right" vertical="center" wrapText="1"/>
    </xf>
    <xf numFmtId="4" fontId="18" fillId="0" borderId="31" xfId="6" applyNumberFormat="1" applyFont="1" applyFill="1" applyBorder="1" applyAlignment="1">
      <alignment horizontal="right" vertical="center" wrapText="1"/>
    </xf>
    <xf numFmtId="10" fontId="19" fillId="0" borderId="31" xfId="3" applyNumberFormat="1" applyFont="1" applyBorder="1" applyAlignment="1">
      <alignment horizontal="right" vertical="center" wrapText="1"/>
    </xf>
    <xf numFmtId="4" fontId="67" fillId="0" borderId="0" xfId="5" applyNumberFormat="1" applyFont="1" applyFill="1" applyAlignment="1">
      <alignment horizontal="center" vertical="center"/>
    </xf>
    <xf numFmtId="4" fontId="18" fillId="0" borderId="59" xfId="6" applyNumberFormat="1" applyFont="1" applyFill="1" applyBorder="1" applyAlignment="1">
      <alignment horizontal="right" vertical="center" wrapText="1"/>
    </xf>
    <xf numFmtId="10" fontId="19" fillId="0" borderId="65" xfId="3" applyNumberFormat="1" applyFont="1" applyBorder="1" applyAlignment="1">
      <alignment horizontal="right" vertical="center" wrapText="1"/>
    </xf>
    <xf numFmtId="10" fontId="26" fillId="0" borderId="66" xfId="3" applyNumberFormat="1" applyFont="1" applyBorder="1" applyAlignment="1">
      <alignment horizontal="right" vertical="center" wrapText="1"/>
    </xf>
    <xf numFmtId="10" fontId="26" fillId="0" borderId="65" xfId="3" applyNumberFormat="1" applyFont="1" applyBorder="1" applyAlignment="1">
      <alignment horizontal="right" vertical="center" wrapText="1"/>
    </xf>
    <xf numFmtId="0" fontId="18" fillId="0" borderId="0" xfId="6" quotePrefix="1" applyFont="1" applyFill="1" applyBorder="1" applyAlignment="1">
      <alignment horizontal="center" vertical="center" wrapText="1"/>
    </xf>
    <xf numFmtId="10" fontId="84" fillId="0" borderId="65" xfId="3" applyNumberFormat="1" applyFont="1" applyBorder="1" applyAlignment="1">
      <alignment horizontal="center" vertical="center" wrapText="1"/>
    </xf>
    <xf numFmtId="4" fontId="19" fillId="0" borderId="66" xfId="5" applyNumberFormat="1" applyFont="1" applyFill="1" applyBorder="1" applyAlignment="1" applyProtection="1">
      <alignment horizontal="center" vertical="center"/>
    </xf>
    <xf numFmtId="1" fontId="18" fillId="5" borderId="4" xfId="6" applyNumberFormat="1" applyFont="1" applyFill="1" applyBorder="1" applyAlignment="1">
      <alignment horizontal="center" vertical="center" wrapText="1"/>
    </xf>
    <xf numFmtId="4" fontId="18" fillId="0" borderId="0" xfId="5" applyNumberFormat="1" applyFont="1" applyAlignment="1">
      <alignment vertical="center"/>
    </xf>
    <xf numFmtId="1" fontId="5" fillId="0" borderId="33" xfId="6" applyNumberFormat="1" applyFont="1" applyFill="1" applyBorder="1" applyAlignment="1">
      <alignment horizontal="center" vertical="center" wrapText="1"/>
    </xf>
    <xf numFmtId="4" fontId="18" fillId="0" borderId="33" xfId="6" applyNumberFormat="1" applyFont="1" applyFill="1" applyBorder="1" applyAlignment="1">
      <alignment horizontal="center" vertical="center" wrapText="1"/>
    </xf>
    <xf numFmtId="0" fontId="19" fillId="0" borderId="0" xfId="51" applyFont="1" applyFill="1" applyBorder="1" applyAlignment="1">
      <alignment horizontal="left" vertical="center" wrapText="1"/>
    </xf>
    <xf numFmtId="0" fontId="88" fillId="0" borderId="0" xfId="0" applyFont="1"/>
    <xf numFmtId="0" fontId="18" fillId="0" borderId="0" xfId="51" quotePrefix="1" applyFont="1" applyFill="1" applyBorder="1" applyAlignment="1">
      <alignment horizontal="left" vertical="center" wrapText="1"/>
    </xf>
    <xf numFmtId="4" fontId="18" fillId="0" borderId="65" xfId="6" applyNumberFormat="1" applyFont="1" applyFill="1" applyBorder="1" applyAlignment="1">
      <alignment horizontal="left" vertical="center" wrapText="1"/>
    </xf>
    <xf numFmtId="4" fontId="18" fillId="0" borderId="66" xfId="6" applyNumberFormat="1" applyFont="1" applyFill="1" applyBorder="1" applyAlignment="1">
      <alignment horizontal="left" vertical="center" wrapText="1"/>
    </xf>
    <xf numFmtId="0" fontId="23" fillId="0" borderId="0" xfId="51" quotePrefix="1" applyFont="1" applyFill="1" applyBorder="1" applyAlignment="1">
      <alignment horizontal="left" vertical="center" wrapText="1"/>
    </xf>
    <xf numFmtId="4" fontId="18" fillId="0" borderId="66" xfId="6" applyNumberFormat="1" applyFont="1" applyFill="1" applyBorder="1" applyAlignment="1">
      <alignment vertical="center" wrapText="1"/>
    </xf>
    <xf numFmtId="4" fontId="23" fillId="0" borderId="66" xfId="6" applyNumberFormat="1" applyFont="1" applyFill="1" applyBorder="1" applyAlignment="1">
      <alignment vertical="center" wrapText="1"/>
    </xf>
    <xf numFmtId="1" fontId="24" fillId="0" borderId="29" xfId="6" applyNumberFormat="1" applyFont="1" applyFill="1" applyBorder="1" applyAlignment="1">
      <alignment horizontal="center" vertical="center" wrapText="1"/>
    </xf>
    <xf numFmtId="0" fontId="23" fillId="0" borderId="27" xfId="6" applyFont="1" applyFill="1" applyBorder="1" applyAlignment="1">
      <alignment horizontal="center" vertical="center" wrapText="1"/>
    </xf>
    <xf numFmtId="0" fontId="78" fillId="0" borderId="73" xfId="49" quotePrefix="1" applyNumberFormat="1" applyFont="1" applyBorder="1" applyAlignment="1">
      <alignment horizontal="left" vertical="center" wrapText="1"/>
    </xf>
    <xf numFmtId="4" fontId="79" fillId="0" borderId="74" xfId="50" applyNumberFormat="1" applyFont="1" applyBorder="1" applyAlignment="1">
      <alignment horizontal="right" vertical="center" wrapText="1"/>
    </xf>
    <xf numFmtId="2" fontId="18" fillId="0" borderId="28" xfId="6" applyNumberFormat="1" applyFont="1" applyFill="1" applyBorder="1" applyAlignment="1">
      <alignment horizontal="right" vertical="center" wrapText="1"/>
    </xf>
    <xf numFmtId="4" fontId="18" fillId="0" borderId="27" xfId="5" applyNumberFormat="1" applyFont="1" applyBorder="1" applyAlignment="1">
      <alignment horizontal="right" vertical="center"/>
    </xf>
    <xf numFmtId="0" fontId="78" fillId="0" borderId="75" xfId="49" quotePrefix="1" applyNumberFormat="1" applyFont="1" applyBorder="1" applyAlignment="1">
      <alignment horizontal="left" vertical="center" wrapText="1"/>
    </xf>
    <xf numFmtId="0" fontId="82" fillId="0" borderId="76" xfId="49" applyNumberFormat="1" applyFont="1" applyBorder="1" applyAlignment="1">
      <alignment horizontal="left" vertical="center" wrapText="1"/>
    </xf>
    <xf numFmtId="0" fontId="29" fillId="0" borderId="76" xfId="49" quotePrefix="1" applyNumberFormat="1" applyFont="1" applyBorder="1" applyAlignment="1">
      <alignment horizontal="left" vertical="center" wrapText="1"/>
    </xf>
    <xf numFmtId="0" fontId="78" fillId="0" borderId="77" xfId="49" quotePrefix="1" applyNumberFormat="1" applyFont="1" applyBorder="1" applyAlignment="1">
      <alignment horizontal="left" vertical="center" wrapText="1"/>
    </xf>
    <xf numFmtId="0" fontId="29" fillId="0" borderId="77" xfId="49" quotePrefix="1" applyNumberFormat="1" applyFont="1" applyBorder="1" applyAlignment="1">
      <alignment horizontal="left" vertical="center" wrapText="1"/>
    </xf>
    <xf numFmtId="0" fontId="29" fillId="0" borderId="77" xfId="49" quotePrefix="1" applyNumberFormat="1" applyFont="1" applyBorder="1" applyAlignment="1" applyProtection="1">
      <alignment vertical="center" wrapText="1"/>
      <protection locked="0"/>
    </xf>
    <xf numFmtId="10" fontId="23" fillId="0" borderId="66" xfId="2" applyNumberFormat="1" applyFont="1" applyBorder="1" applyAlignment="1" applyProtection="1">
      <alignment vertical="center" wrapText="1"/>
    </xf>
    <xf numFmtId="0" fontId="4" fillId="0" borderId="0" xfId="2" quotePrefix="1" applyFont="1" applyAlignment="1">
      <alignment vertical="center"/>
    </xf>
    <xf numFmtId="1" fontId="18" fillId="0" borderId="65" xfId="3" applyNumberFormat="1" applyFont="1" applyBorder="1" applyAlignment="1">
      <alignment horizontal="center" vertical="center" wrapText="1"/>
    </xf>
    <xf numFmtId="0" fontId="68" fillId="0" borderId="0" xfId="2" applyFont="1" applyBorder="1" applyAlignment="1">
      <alignment horizontal="center" vertical="center"/>
    </xf>
    <xf numFmtId="0" fontId="23" fillId="0" borderId="0" xfId="2" applyFont="1" applyBorder="1" applyAlignment="1">
      <alignment vertical="center"/>
    </xf>
    <xf numFmtId="4" fontId="80" fillId="0" borderId="0" xfId="5" applyNumberFormat="1" applyFont="1" applyAlignment="1">
      <alignment horizontal="center" vertical="center" wrapText="1"/>
    </xf>
    <xf numFmtId="0" fontId="19" fillId="0" borderId="65" xfId="4" applyFont="1" applyFill="1" applyBorder="1" applyAlignment="1">
      <alignment horizontal="center" vertical="center" wrapText="1"/>
    </xf>
    <xf numFmtId="1" fontId="18" fillId="0" borderId="0" xfId="3" applyNumberFormat="1" applyFont="1" applyBorder="1" applyAlignment="1">
      <alignment horizontal="center" vertical="center" wrapText="1"/>
    </xf>
    <xf numFmtId="0" fontId="68" fillId="0" borderId="0" xfId="2" applyFont="1" applyAlignment="1">
      <alignment horizontal="center" vertical="center"/>
    </xf>
    <xf numFmtId="0" fontId="23" fillId="0" borderId="0" xfId="2" applyFont="1" applyAlignment="1">
      <alignment vertical="center"/>
    </xf>
    <xf numFmtId="1" fontId="19" fillId="5" borderId="13" xfId="6" quotePrefix="1" applyNumberFormat="1" applyFont="1" applyFill="1" applyBorder="1" applyAlignment="1">
      <alignment horizontal="center" vertical="center" wrapText="1"/>
    </xf>
    <xf numFmtId="10" fontId="19" fillId="5" borderId="78" xfId="6" applyNumberFormat="1" applyFont="1" applyFill="1" applyBorder="1" applyAlignment="1">
      <alignment horizontal="right" vertical="center" wrapText="1"/>
    </xf>
    <xf numFmtId="0" fontId="67" fillId="0" borderId="0" xfId="2" applyFont="1" applyBorder="1" applyAlignment="1">
      <alignment horizontal="center" vertical="center"/>
    </xf>
    <xf numFmtId="0" fontId="83" fillId="0" borderId="0" xfId="2" applyFont="1" applyAlignment="1">
      <alignment horizontal="center" vertical="center"/>
    </xf>
    <xf numFmtId="0" fontId="84" fillId="0" borderId="0" xfId="2" applyFont="1" applyAlignment="1">
      <alignment horizontal="center" vertical="center"/>
    </xf>
    <xf numFmtId="0" fontId="89" fillId="0" borderId="0" xfId="2" applyFont="1" applyAlignment="1">
      <alignment horizontal="center" vertical="center"/>
    </xf>
    <xf numFmtId="0" fontId="18" fillId="0" borderId="66" xfId="2" applyFont="1" applyBorder="1" applyAlignment="1">
      <alignment vertical="center"/>
    </xf>
    <xf numFmtId="1" fontId="18" fillId="0" borderId="29" xfId="2" applyNumberFormat="1" applyFont="1" applyBorder="1" applyAlignment="1" applyProtection="1">
      <alignment horizontal="center" vertical="center"/>
    </xf>
    <xf numFmtId="49" fontId="23" fillId="0" borderId="27" xfId="3" applyNumberFormat="1" applyFont="1" applyBorder="1" applyAlignment="1">
      <alignment horizontal="center" vertical="center" wrapText="1"/>
    </xf>
    <xf numFmtId="4" fontId="23" fillId="0" borderId="65" xfId="1" applyNumberFormat="1" applyFont="1" applyFill="1" applyBorder="1" applyAlignment="1" applyProtection="1">
      <alignment vertical="center" wrapText="1"/>
    </xf>
    <xf numFmtId="0" fontId="18" fillId="0" borderId="0" xfId="2" applyFont="1" applyBorder="1" applyAlignment="1">
      <alignment vertical="center"/>
    </xf>
    <xf numFmtId="1" fontId="24" fillId="3" borderId="65" xfId="2" applyNumberFormat="1" applyFont="1" applyFill="1" applyBorder="1" applyAlignment="1" applyProtection="1">
      <alignment horizontal="center" vertical="center"/>
    </xf>
    <xf numFmtId="0" fontId="7" fillId="3" borderId="0" xfId="2" applyFont="1" applyFill="1" applyBorder="1" applyAlignment="1">
      <alignment horizontal="center" vertical="center"/>
    </xf>
    <xf numFmtId="4" fontId="90" fillId="0" borderId="65" xfId="3" applyNumberFormat="1" applyFont="1" applyBorder="1" applyAlignment="1">
      <alignment horizontal="center" vertical="center" wrapText="1"/>
    </xf>
    <xf numFmtId="0" fontId="84" fillId="0" borderId="0" xfId="2" applyFont="1" applyBorder="1" applyAlignment="1">
      <alignment horizontal="center" vertical="center"/>
    </xf>
    <xf numFmtId="0" fontId="29" fillId="0" borderId="0" xfId="0" applyNumberFormat="1" applyFont="1" applyFill="1" applyBorder="1" applyAlignment="1" applyProtection="1">
      <alignment horizontal="left" vertical="center" wrapText="1"/>
    </xf>
    <xf numFmtId="1" fontId="18" fillId="0" borderId="29" xfId="3" applyNumberFormat="1" applyFont="1" applyBorder="1" applyAlignment="1">
      <alignment horizontal="center" vertical="center" wrapText="1"/>
    </xf>
    <xf numFmtId="0" fontId="18" fillId="0" borderId="27" xfId="3" applyFont="1" applyBorder="1" applyAlignment="1">
      <alignment horizontal="center" vertical="center" wrapText="1"/>
    </xf>
    <xf numFmtId="0" fontId="18" fillId="3" borderId="58" xfId="2" applyFont="1" applyFill="1" applyBorder="1" applyAlignment="1" applyProtection="1">
      <alignment horizontal="center" vertical="center"/>
    </xf>
    <xf numFmtId="0" fontId="29" fillId="0" borderId="58" xfId="0" applyNumberFormat="1" applyFont="1" applyFill="1" applyBorder="1" applyAlignment="1">
      <alignment horizontal="left" vertical="center" wrapText="1"/>
    </xf>
    <xf numFmtId="4" fontId="18" fillId="0" borderId="57" xfId="2" applyNumberFormat="1" applyFont="1" applyFill="1" applyBorder="1" applyAlignment="1" applyProtection="1">
      <alignment horizontal="right" vertical="center" wrapText="1"/>
    </xf>
    <xf numFmtId="4" fontId="18" fillId="0" borderId="59" xfId="2" applyNumberFormat="1" applyFont="1" applyFill="1" applyBorder="1" applyAlignment="1" applyProtection="1">
      <alignment horizontal="right" vertical="center"/>
    </xf>
    <xf numFmtId="10" fontId="18" fillId="0" borderId="59" xfId="2" applyNumberFormat="1" applyFont="1" applyFill="1" applyBorder="1" applyAlignment="1" applyProtection="1">
      <alignment horizontal="right" vertical="center"/>
    </xf>
    <xf numFmtId="1" fontId="24" fillId="3" borderId="65" xfId="3" applyNumberFormat="1" applyFont="1" applyFill="1" applyBorder="1" applyAlignment="1">
      <alignment horizontal="center" vertical="center" wrapText="1"/>
    </xf>
    <xf numFmtId="4" fontId="23" fillId="3" borderId="0" xfId="3" applyNumberFormat="1" applyFont="1" applyFill="1" applyBorder="1" applyAlignment="1">
      <alignment horizontal="center" vertical="center" wrapText="1"/>
    </xf>
    <xf numFmtId="1" fontId="5" fillId="0" borderId="29" xfId="0" applyNumberFormat="1" applyFont="1" applyFill="1" applyBorder="1" applyAlignment="1" applyProtection="1">
      <alignment horizontal="center" vertical="center"/>
    </xf>
    <xf numFmtId="4" fontId="18" fillId="0" borderId="27" xfId="6" applyNumberFormat="1" applyFont="1" applyFill="1" applyBorder="1" applyAlignment="1">
      <alignment horizontal="center" vertical="center" wrapText="1"/>
    </xf>
    <xf numFmtId="1" fontId="24" fillId="0" borderId="65" xfId="3" applyNumberFormat="1" applyFont="1" applyFill="1" applyBorder="1" applyAlignment="1">
      <alignment horizontal="center" vertical="center" wrapText="1"/>
    </xf>
    <xf numFmtId="4" fontId="23" fillId="0" borderId="0" xfId="3" applyNumberFormat="1" applyFont="1" applyBorder="1" applyAlignment="1">
      <alignment horizontal="left" vertical="center" wrapText="1"/>
    </xf>
    <xf numFmtId="0" fontId="23" fillId="0" borderId="0" xfId="6" applyFont="1" applyFill="1" applyBorder="1" applyAlignment="1">
      <alignment horizontal="left" vertical="center" wrapText="1"/>
    </xf>
    <xf numFmtId="4" fontId="23" fillId="0" borderId="0" xfId="3" quotePrefix="1" applyNumberFormat="1" applyFont="1" applyBorder="1" applyAlignment="1">
      <alignment horizontal="left" vertical="center" wrapText="1"/>
    </xf>
    <xf numFmtId="0" fontId="27" fillId="0" borderId="67" xfId="0" applyFont="1" applyBorder="1" applyAlignment="1" applyProtection="1">
      <alignment horizontal="center" vertical="center"/>
    </xf>
    <xf numFmtId="164" fontId="79" fillId="0" borderId="0" xfId="52" applyFont="1" applyBorder="1" applyAlignment="1" applyProtection="1">
      <alignment horizontal="center" vertical="center" wrapText="1"/>
    </xf>
    <xf numFmtId="164" fontId="18" fillId="0" borderId="65" xfId="52" applyFont="1" applyBorder="1" applyAlignment="1" applyProtection="1">
      <alignment horizontal="center" vertical="center" wrapText="1"/>
    </xf>
    <xf numFmtId="164" fontId="27" fillId="0" borderId="0" xfId="52" applyFont="1" applyBorder="1" applyAlignment="1" applyProtection="1">
      <alignment horizontal="center" vertical="center"/>
    </xf>
    <xf numFmtId="164" fontId="78" fillId="0" borderId="0" xfId="52" quotePrefix="1" applyFont="1" applyBorder="1" applyAlignment="1">
      <alignment horizontal="left" vertical="center" wrapText="1"/>
    </xf>
    <xf numFmtId="4" fontId="28" fillId="0" borderId="66" xfId="3" applyNumberFormat="1" applyFont="1" applyBorder="1" applyAlignment="1">
      <alignment horizontal="right" vertical="center" wrapText="1"/>
    </xf>
    <xf numFmtId="10" fontId="28" fillId="0" borderId="66" xfId="0" applyNumberFormat="1" applyFont="1" applyBorder="1" applyAlignment="1">
      <alignment vertical="center"/>
    </xf>
    <xf numFmtId="0" fontId="91" fillId="0" borderId="0" xfId="0" applyFont="1" applyBorder="1" applyAlignment="1">
      <alignment horizontal="center" vertical="center"/>
    </xf>
    <xf numFmtId="0" fontId="67" fillId="0" borderId="0" xfId="0" applyFont="1" applyBorder="1" applyAlignment="1">
      <alignment horizontal="center" vertical="center"/>
    </xf>
    <xf numFmtId="0" fontId="92" fillId="0" borderId="0" xfId="0" applyFont="1" applyBorder="1" applyAlignment="1">
      <alignment horizontal="center" vertical="center"/>
    </xf>
    <xf numFmtId="0" fontId="27" fillId="0" borderId="0" xfId="0" applyFont="1" applyBorder="1" applyAlignment="1">
      <alignment vertical="center"/>
    </xf>
    <xf numFmtId="0" fontId="30" fillId="0" borderId="67" xfId="0" applyFont="1" applyBorder="1" applyAlignment="1" applyProtection="1">
      <alignment horizontal="left" vertical="center"/>
    </xf>
    <xf numFmtId="164" fontId="30" fillId="0" borderId="0" xfId="52" applyFont="1" applyBorder="1" applyAlignment="1" applyProtection="1">
      <alignment horizontal="left" vertical="center" wrapText="1"/>
    </xf>
    <xf numFmtId="164" fontId="18" fillId="0" borderId="65" xfId="52" applyFont="1" applyBorder="1" applyAlignment="1" applyProtection="1">
      <alignment horizontal="left" vertical="center" wrapText="1"/>
    </xf>
    <xf numFmtId="164" fontId="30" fillId="0" borderId="0" xfId="52" applyFont="1" applyBorder="1" applyAlignment="1" applyProtection="1">
      <alignment horizontal="left" vertical="center"/>
    </xf>
    <xf numFmtId="164" fontId="30" fillId="0" borderId="0" xfId="52" quotePrefix="1" applyFont="1" applyBorder="1" applyAlignment="1">
      <alignment horizontal="left" vertical="center" wrapText="1"/>
    </xf>
    <xf numFmtId="4" fontId="30" fillId="0" borderId="66" xfId="3" applyNumberFormat="1" applyFont="1" applyBorder="1" applyAlignment="1">
      <alignment horizontal="left" vertical="center" wrapText="1"/>
    </xf>
    <xf numFmtId="4" fontId="30" fillId="0" borderId="66" xfId="0" applyNumberFormat="1" applyFont="1" applyBorder="1" applyAlignment="1">
      <alignment horizontal="left" vertical="center"/>
    </xf>
    <xf numFmtId="4" fontId="30" fillId="0" borderId="66" xfId="0" applyNumberFormat="1" applyFont="1" applyBorder="1" applyAlignment="1">
      <alignment horizontal="right" vertical="center"/>
    </xf>
    <xf numFmtId="4" fontId="30" fillId="0" borderId="66" xfId="0" applyNumberFormat="1" applyFont="1" applyBorder="1" applyAlignment="1">
      <alignment vertical="center"/>
    </xf>
    <xf numFmtId="10" fontId="30" fillId="0" borderId="66" xfId="0" applyNumberFormat="1" applyFont="1" applyBorder="1" applyAlignment="1">
      <alignment horizontal="right" vertical="center"/>
    </xf>
    <xf numFmtId="0" fontId="93" fillId="0" borderId="0" xfId="0" applyFont="1" applyBorder="1" applyAlignment="1">
      <alignment horizontal="center" vertical="center"/>
    </xf>
    <xf numFmtId="0" fontId="68" fillId="0" borderId="0" xfId="0" applyFont="1" applyBorder="1" applyAlignment="1">
      <alignment horizontal="center" vertical="center"/>
    </xf>
    <xf numFmtId="0" fontId="94" fillId="0" borderId="0" xfId="0" applyFont="1" applyBorder="1" applyAlignment="1">
      <alignment horizontal="center" vertical="center"/>
    </xf>
    <xf numFmtId="0" fontId="30" fillId="0" borderId="0" xfId="0" applyFont="1" applyBorder="1" applyAlignment="1">
      <alignment horizontal="left" vertical="center"/>
    </xf>
    <xf numFmtId="4" fontId="28" fillId="0" borderId="66" xfId="0" applyNumberFormat="1" applyFont="1" applyBorder="1" applyAlignment="1">
      <alignment vertical="center"/>
    </xf>
    <xf numFmtId="4" fontId="28" fillId="0" borderId="66" xfId="0" applyNumberFormat="1" applyFont="1" applyBorder="1" applyAlignment="1">
      <alignment horizontal="right" vertical="center"/>
    </xf>
    <xf numFmtId="1" fontId="18" fillId="0" borderId="66" xfId="3" applyNumberFormat="1" applyFont="1" applyBorder="1" applyAlignment="1">
      <alignment horizontal="center" vertical="center" wrapText="1"/>
    </xf>
    <xf numFmtId="1" fontId="5" fillId="0" borderId="65" xfId="3" applyNumberFormat="1" applyFont="1" applyBorder="1" applyAlignment="1">
      <alignment horizontal="center" vertical="center" wrapText="1"/>
    </xf>
    <xf numFmtId="4" fontId="18" fillId="0" borderId="58" xfId="3" applyNumberFormat="1" applyFont="1" applyFill="1" applyBorder="1" applyAlignment="1">
      <alignment horizontal="left" vertical="center" wrapText="1"/>
    </xf>
    <xf numFmtId="4" fontId="36" fillId="0" borderId="59" xfId="3" applyNumberFormat="1" applyFont="1" applyBorder="1" applyAlignment="1">
      <alignment horizontal="right" vertical="center" wrapText="1"/>
    </xf>
    <xf numFmtId="10" fontId="63" fillId="0" borderId="79" xfId="2" applyNumberFormat="1" applyFont="1" applyBorder="1" applyAlignment="1">
      <alignment horizontal="center" vertical="center"/>
    </xf>
    <xf numFmtId="4" fontId="18" fillId="0" borderId="57" xfId="2" applyNumberFormat="1" applyFont="1" applyBorder="1" applyAlignment="1" applyProtection="1">
      <alignment horizontal="right" vertical="center"/>
    </xf>
    <xf numFmtId="10" fontId="18" fillId="0" borderId="34" xfId="2" applyNumberFormat="1" applyFont="1" applyBorder="1" applyAlignment="1" applyProtection="1">
      <alignment horizontal="right" vertical="center"/>
    </xf>
    <xf numFmtId="0" fontId="63" fillId="0" borderId="66" xfId="2" applyFont="1" applyBorder="1" applyAlignment="1">
      <alignment horizontal="center" vertical="center"/>
    </xf>
    <xf numFmtId="1" fontId="23" fillId="0" borderId="66" xfId="5" applyNumberFormat="1" applyFont="1" applyBorder="1" applyAlignment="1" applyProtection="1">
      <alignment horizontal="center" vertical="center" wrapText="1"/>
    </xf>
    <xf numFmtId="4" fontId="24" fillId="0" borderId="0" xfId="5" applyNumberFormat="1" applyFont="1" applyBorder="1" applyAlignment="1">
      <alignment vertical="center"/>
    </xf>
    <xf numFmtId="4" fontId="62" fillId="0" borderId="0" xfId="2" applyNumberFormat="1" applyFont="1" applyFill="1" applyBorder="1" applyAlignment="1">
      <alignment horizontal="center" vertical="center"/>
    </xf>
    <xf numFmtId="4" fontId="19" fillId="0" borderId="57" xfId="6" applyNumberFormat="1" applyFont="1" applyFill="1" applyBorder="1" applyAlignment="1">
      <alignment horizontal="right" vertical="center" wrapText="1"/>
    </xf>
    <xf numFmtId="10" fontId="18" fillId="0" borderId="59" xfId="6" applyNumberFormat="1" applyFont="1" applyFill="1" applyBorder="1" applyAlignment="1">
      <alignment horizontal="right" vertical="center" wrapText="1"/>
    </xf>
    <xf numFmtId="4" fontId="29" fillId="0" borderId="66" xfId="0" applyNumberFormat="1" applyFont="1" applyBorder="1" applyAlignment="1">
      <alignment horizontal="right" vertical="center"/>
    </xf>
    <xf numFmtId="10" fontId="29" fillId="0" borderId="66" xfId="0" applyNumberFormat="1" applyFont="1" applyBorder="1" applyAlignment="1">
      <alignment horizontal="right" vertical="center"/>
    </xf>
    <xf numFmtId="0" fontId="27" fillId="0" borderId="67" xfId="0" applyFont="1" applyFill="1" applyBorder="1" applyAlignment="1" applyProtection="1">
      <alignment horizontal="center" vertical="center"/>
    </xf>
    <xf numFmtId="164" fontId="79" fillId="0" borderId="0" xfId="52" applyFont="1" applyFill="1" applyBorder="1" applyAlignment="1" applyProtection="1">
      <alignment horizontal="center" vertical="center" wrapText="1"/>
    </xf>
    <xf numFmtId="164" fontId="18" fillId="0" borderId="65" xfId="52" applyFont="1" applyFill="1" applyBorder="1" applyAlignment="1" applyProtection="1">
      <alignment horizontal="center" vertical="center" wrapText="1"/>
    </xf>
    <xf numFmtId="164" fontId="27" fillId="0" borderId="0" xfId="52" applyFont="1" applyFill="1" applyBorder="1" applyAlignment="1" applyProtection="1">
      <alignment horizontal="center" vertical="center"/>
    </xf>
    <xf numFmtId="164" fontId="78" fillId="0" borderId="0" xfId="52" quotePrefix="1" applyFont="1" applyFill="1" applyBorder="1" applyAlignment="1">
      <alignment horizontal="left" vertical="center" wrapText="1"/>
    </xf>
    <xf numFmtId="4" fontId="28" fillId="0" borderId="66" xfId="3" applyNumberFormat="1" applyFont="1" applyFill="1" applyBorder="1" applyAlignment="1">
      <alignment horizontal="right" vertical="center" wrapText="1"/>
    </xf>
    <xf numFmtId="4" fontId="28" fillId="0" borderId="66" xfId="0" applyNumberFormat="1" applyFont="1" applyFill="1" applyBorder="1" applyAlignment="1">
      <alignment vertical="center"/>
    </xf>
    <xf numFmtId="10" fontId="28" fillId="0" borderId="66" xfId="0" applyNumberFormat="1" applyFont="1" applyFill="1" applyBorder="1" applyAlignment="1">
      <alignment vertical="center"/>
    </xf>
    <xf numFmtId="0" fontId="91" fillId="0" borderId="0" xfId="0" applyFont="1" applyFill="1" applyBorder="1" applyAlignment="1">
      <alignment horizontal="center" vertical="center"/>
    </xf>
    <xf numFmtId="0" fontId="67" fillId="0" borderId="0" xfId="0" applyFont="1" applyFill="1" applyBorder="1" applyAlignment="1">
      <alignment horizontal="center" vertical="center"/>
    </xf>
    <xf numFmtId="0" fontId="92" fillId="0" borderId="0" xfId="0" applyFont="1" applyFill="1" applyBorder="1" applyAlignment="1">
      <alignment horizontal="center" vertical="center"/>
    </xf>
    <xf numFmtId="0" fontId="27" fillId="0" borderId="0" xfId="0" applyFont="1" applyFill="1" applyBorder="1" applyAlignment="1">
      <alignment vertical="center"/>
    </xf>
    <xf numFmtId="164" fontId="30" fillId="0" borderId="0" xfId="52" quotePrefix="1" applyFont="1" applyFill="1" applyBorder="1" applyAlignment="1">
      <alignment horizontal="left" vertical="center" wrapText="1"/>
    </xf>
    <xf numFmtId="4" fontId="29" fillId="0" borderId="66" xfId="3" applyNumberFormat="1" applyFont="1" applyFill="1" applyBorder="1" applyAlignment="1">
      <alignment horizontal="right" vertical="center" wrapText="1"/>
    </xf>
    <xf numFmtId="4" fontId="29" fillId="0" borderId="66" xfId="0" applyNumberFormat="1" applyFont="1" applyFill="1" applyBorder="1" applyAlignment="1">
      <alignment vertical="center"/>
    </xf>
    <xf numFmtId="4" fontId="30" fillId="0" borderId="66" xfId="0" applyNumberFormat="1" applyFont="1" applyFill="1" applyBorder="1" applyAlignment="1">
      <alignment vertical="center"/>
    </xf>
    <xf numFmtId="10" fontId="30" fillId="0" borderId="66" xfId="0" applyNumberFormat="1" applyFont="1" applyFill="1" applyBorder="1" applyAlignment="1">
      <alignment vertical="center"/>
    </xf>
    <xf numFmtId="0" fontId="30" fillId="0" borderId="67" xfId="0" applyFont="1" applyFill="1" applyBorder="1" applyAlignment="1" applyProtection="1">
      <alignment horizontal="left" vertical="center"/>
    </xf>
    <xf numFmtId="164" fontId="30" fillId="0" borderId="0" xfId="52" applyFont="1" applyFill="1" applyBorder="1" applyAlignment="1" applyProtection="1">
      <alignment horizontal="left" vertical="center" wrapText="1"/>
    </xf>
    <xf numFmtId="164" fontId="18" fillId="0" borderId="65" xfId="52" applyFont="1" applyFill="1" applyBorder="1" applyAlignment="1" applyProtection="1">
      <alignment horizontal="left" vertical="center" wrapText="1"/>
    </xf>
    <xf numFmtId="164" fontId="30" fillId="0" borderId="0" xfId="52" applyFont="1" applyFill="1" applyBorder="1" applyAlignment="1" applyProtection="1">
      <alignment horizontal="left" vertical="center"/>
    </xf>
    <xf numFmtId="4" fontId="30" fillId="0" borderId="66" xfId="3" applyNumberFormat="1" applyFont="1" applyFill="1" applyBorder="1" applyAlignment="1">
      <alignment horizontal="left" vertical="center" wrapText="1"/>
    </xf>
    <xf numFmtId="4" fontId="30" fillId="0" borderId="66" xfId="0" applyNumberFormat="1" applyFont="1" applyFill="1" applyBorder="1" applyAlignment="1">
      <alignment horizontal="left" vertical="center"/>
    </xf>
    <xf numFmtId="4" fontId="30" fillId="0" borderId="66" xfId="0" applyNumberFormat="1" applyFont="1" applyFill="1" applyBorder="1" applyAlignment="1">
      <alignment horizontal="right" vertical="center"/>
    </xf>
    <xf numFmtId="10" fontId="30" fillId="0" borderId="66" xfId="0" applyNumberFormat="1" applyFont="1" applyFill="1" applyBorder="1" applyAlignment="1">
      <alignment horizontal="right" vertical="center"/>
    </xf>
    <xf numFmtId="0" fontId="93" fillId="0" borderId="0" xfId="0" applyFont="1" applyFill="1" applyBorder="1" applyAlignment="1">
      <alignment horizontal="center" vertical="center"/>
    </xf>
    <xf numFmtId="0" fontId="68" fillId="0" borderId="0" xfId="0" applyFont="1" applyFill="1" applyBorder="1" applyAlignment="1">
      <alignment horizontal="center" vertical="center"/>
    </xf>
    <xf numFmtId="0" fontId="94" fillId="0" borderId="0" xfId="0" applyFont="1" applyFill="1" applyBorder="1" applyAlignment="1">
      <alignment horizontal="center" vertical="center"/>
    </xf>
    <xf numFmtId="0" fontId="30" fillId="0" borderId="0" xfId="0" applyFont="1" applyFill="1" applyBorder="1" applyAlignment="1">
      <alignment horizontal="left" vertical="center"/>
    </xf>
    <xf numFmtId="10" fontId="28" fillId="0" borderId="66" xfId="0" applyNumberFormat="1" applyFont="1" applyBorder="1" applyAlignment="1">
      <alignment horizontal="right" vertical="center"/>
    </xf>
    <xf numFmtId="1" fontId="5" fillId="0" borderId="58" xfId="3" applyNumberFormat="1" applyFont="1" applyBorder="1" applyAlignment="1">
      <alignment horizontal="center" vertical="center" wrapText="1"/>
    </xf>
    <xf numFmtId="4" fontId="18" fillId="0" borderId="58" xfId="3" applyNumberFormat="1" applyFont="1" applyBorder="1" applyAlignment="1">
      <alignment horizontal="right" vertical="center" wrapText="1"/>
    </xf>
    <xf numFmtId="4" fontId="19" fillId="0" borderId="58" xfId="3" applyNumberFormat="1" applyFont="1" applyBorder="1" applyAlignment="1">
      <alignment horizontal="right" vertical="center" wrapText="1"/>
    </xf>
    <xf numFmtId="164" fontId="27" fillId="0" borderId="0" xfId="52" applyFont="1" applyBorder="1" applyAlignment="1" applyProtection="1">
      <alignment horizontal="center" vertical="center" wrapText="1"/>
    </xf>
    <xf numFmtId="164" fontId="95" fillId="0" borderId="0" xfId="52" applyFont="1" applyBorder="1" applyAlignment="1">
      <alignment horizontal="left" vertical="center" wrapText="1"/>
    </xf>
    <xf numFmtId="4" fontId="27" fillId="0" borderId="66" xfId="3" applyNumberFormat="1" applyFont="1" applyBorder="1" applyAlignment="1">
      <alignment horizontal="right" vertical="center" wrapText="1"/>
    </xf>
    <xf numFmtId="4" fontId="27" fillId="0" borderId="66" xfId="0" applyNumberFormat="1" applyFont="1" applyBorder="1" applyAlignment="1">
      <alignment vertical="center"/>
    </xf>
    <xf numFmtId="10" fontId="27" fillId="0" borderId="66" xfId="0" applyNumberFormat="1" applyFont="1" applyBorder="1" applyAlignment="1">
      <alignment vertical="center"/>
    </xf>
    <xf numFmtId="0" fontId="91" fillId="0" borderId="0" xfId="0" applyFont="1" applyAlignment="1">
      <alignment horizontal="center" vertical="center"/>
    </xf>
    <xf numFmtId="0" fontId="67" fillId="0" borderId="0" xfId="0" applyFont="1" applyAlignment="1">
      <alignment horizontal="center" vertical="center"/>
    </xf>
    <xf numFmtId="0" fontId="92" fillId="0" borderId="0" xfId="0" applyFont="1" applyAlignment="1">
      <alignment horizontal="center" vertical="center"/>
    </xf>
    <xf numFmtId="0" fontId="27" fillId="0" borderId="0" xfId="0" applyFont="1" applyAlignment="1">
      <alignment vertical="center"/>
    </xf>
    <xf numFmtId="0" fontId="26" fillId="0" borderId="65" xfId="0" applyFont="1" applyBorder="1" applyAlignment="1" applyProtection="1">
      <alignment horizontal="center" vertical="center"/>
    </xf>
    <xf numFmtId="0" fontId="23" fillId="0" borderId="69" xfId="0" applyFont="1" applyBorder="1" applyAlignment="1">
      <alignment horizontal="center" vertical="center" wrapText="1"/>
    </xf>
    <xf numFmtId="0" fontId="23" fillId="0" borderId="68" xfId="0" applyFont="1" applyBorder="1" applyAlignment="1">
      <alignment horizontal="center" vertical="center" wrapText="1"/>
    </xf>
    <xf numFmtId="0" fontId="26" fillId="0" borderId="0" xfId="0" quotePrefix="1" applyFont="1" applyBorder="1" applyAlignment="1">
      <alignment horizontal="center" vertical="center"/>
    </xf>
    <xf numFmtId="49" fontId="23" fillId="0" borderId="0" xfId="0" applyNumberFormat="1" applyFont="1" applyBorder="1" applyAlignment="1">
      <alignment horizontal="left" vertical="center" wrapText="1"/>
    </xf>
    <xf numFmtId="4" fontId="23" fillId="0" borderId="69" xfId="0" applyNumberFormat="1" applyFont="1" applyBorder="1" applyAlignment="1">
      <alignment horizontal="center" vertical="center"/>
    </xf>
    <xf numFmtId="4" fontId="23" fillId="0" borderId="68" xfId="0" applyNumberFormat="1" applyFont="1" applyBorder="1" applyAlignment="1">
      <alignment horizontal="center" vertical="center"/>
    </xf>
    <xf numFmtId="4" fontId="23" fillId="0" borderId="69" xfId="0" applyNumberFormat="1" applyFont="1" applyBorder="1" applyAlignment="1">
      <alignment vertical="center"/>
    </xf>
    <xf numFmtId="10" fontId="23" fillId="0" borderId="0" xfId="0" applyNumberFormat="1" applyFont="1" applyBorder="1" applyAlignment="1">
      <alignment horizontal="right" vertical="center"/>
    </xf>
    <xf numFmtId="4" fontId="23" fillId="0" borderId="68" xfId="0" applyNumberFormat="1" applyFont="1" applyBorder="1" applyAlignment="1">
      <alignment horizontal="right" vertical="center"/>
    </xf>
    <xf numFmtId="4" fontId="23" fillId="0" borderId="69" xfId="0" applyNumberFormat="1" applyFont="1" applyFill="1" applyBorder="1" applyAlignment="1">
      <alignment horizontal="right" vertical="center"/>
    </xf>
    <xf numFmtId="4" fontId="23" fillId="0" borderId="69" xfId="0" applyNumberFormat="1" applyFont="1" applyBorder="1" applyAlignment="1">
      <alignment horizontal="right" vertical="center"/>
    </xf>
    <xf numFmtId="4" fontId="90" fillId="0" borderId="0" xfId="0" applyNumberFormat="1" applyFont="1" applyBorder="1" applyAlignment="1">
      <alignment horizontal="center" vertical="center"/>
    </xf>
    <xf numFmtId="0" fontId="84" fillId="0" borderId="0" xfId="0" applyFont="1" applyBorder="1" applyAlignment="1">
      <alignment horizontal="center" vertical="center"/>
    </xf>
    <xf numFmtId="0" fontId="23" fillId="0" borderId="0" xfId="0" applyFont="1" applyBorder="1" applyAlignment="1">
      <alignment horizontal="center" vertical="center"/>
    </xf>
    <xf numFmtId="4" fontId="28" fillId="0" borderId="65" xfId="0" applyNumberFormat="1" applyFont="1" applyFill="1" applyBorder="1" applyAlignment="1">
      <alignment vertical="center"/>
    </xf>
    <xf numFmtId="4" fontId="28" fillId="0" borderId="80" xfId="0" applyNumberFormat="1" applyFont="1" applyFill="1" applyBorder="1" applyAlignment="1">
      <alignment vertical="center"/>
    </xf>
    <xf numFmtId="164" fontId="27" fillId="0" borderId="0" xfId="52" applyFont="1" applyFill="1" applyBorder="1" applyAlignment="1" applyProtection="1">
      <alignment horizontal="center" vertical="center" wrapText="1"/>
    </xf>
    <xf numFmtId="164" fontId="95" fillId="0" borderId="0" xfId="52" applyFont="1" applyFill="1" applyBorder="1" applyAlignment="1">
      <alignment horizontal="left" vertical="center" wrapText="1"/>
    </xf>
    <xf numFmtId="4" fontId="27" fillId="0" borderId="66" xfId="3" applyNumberFormat="1" applyFont="1" applyFill="1" applyBorder="1" applyAlignment="1">
      <alignment horizontal="right" vertical="center" wrapText="1"/>
    </xf>
    <xf numFmtId="4" fontId="27" fillId="0" borderId="66" xfId="0" applyNumberFormat="1" applyFont="1" applyFill="1" applyBorder="1" applyAlignment="1">
      <alignment vertical="center"/>
    </xf>
    <xf numFmtId="4" fontId="27" fillId="0" borderId="65" xfId="0" applyNumberFormat="1" applyFont="1" applyFill="1" applyBorder="1" applyAlignment="1">
      <alignment vertical="center"/>
    </xf>
    <xf numFmtId="4" fontId="27" fillId="0" borderId="80" xfId="0" applyNumberFormat="1" applyFont="1" applyFill="1" applyBorder="1" applyAlignment="1">
      <alignment vertical="center"/>
    </xf>
    <xf numFmtId="10" fontId="27" fillId="0" borderId="66" xfId="0" applyNumberFormat="1" applyFont="1" applyFill="1" applyBorder="1" applyAlignment="1">
      <alignment vertical="center"/>
    </xf>
    <xf numFmtId="0" fontId="91" fillId="0" borderId="0" xfId="0" applyFont="1" applyFill="1" applyAlignment="1">
      <alignment horizontal="center" vertical="center"/>
    </xf>
    <xf numFmtId="0" fontId="67" fillId="0" borderId="0" xfId="0" applyFont="1" applyFill="1" applyAlignment="1">
      <alignment horizontal="center" vertical="center"/>
    </xf>
    <xf numFmtId="0" fontId="92" fillId="0" borderId="0" xfId="0" applyFont="1" applyFill="1" applyAlignment="1">
      <alignment horizontal="center" vertical="center"/>
    </xf>
    <xf numFmtId="0" fontId="27" fillId="0" borderId="0" xfId="0" applyFont="1" applyFill="1" applyAlignment="1">
      <alignment vertical="center"/>
    </xf>
    <xf numFmtId="0" fontId="23" fillId="0" borderId="68" xfId="0" applyFont="1" applyBorder="1" applyAlignment="1">
      <alignment horizontal="center" vertical="center"/>
    </xf>
    <xf numFmtId="4" fontId="23" fillId="0" borderId="70" xfId="0" applyNumberFormat="1" applyFont="1" applyBorder="1" applyAlignment="1">
      <alignment horizontal="right" vertical="center"/>
    </xf>
    <xf numFmtId="4" fontId="29" fillId="0" borderId="66" xfId="3" applyNumberFormat="1" applyFont="1" applyBorder="1" applyAlignment="1">
      <alignment horizontal="right" vertical="center" wrapText="1"/>
    </xf>
    <xf numFmtId="10" fontId="29" fillId="0" borderId="66" xfId="0" applyNumberFormat="1" applyFont="1" applyBorder="1" applyAlignment="1">
      <alignment vertical="center"/>
    </xf>
    <xf numFmtId="4" fontId="29" fillId="0" borderId="66" xfId="0" applyNumberFormat="1" applyFont="1" applyBorder="1" applyAlignment="1">
      <alignment vertical="center"/>
    </xf>
    <xf numFmtId="4" fontId="67" fillId="0" borderId="0" xfId="7" applyNumberFormat="1" applyFont="1" applyAlignment="1">
      <alignment horizontal="center" vertical="center"/>
    </xf>
    <xf numFmtId="4" fontId="67" fillId="0" borderId="0" xfId="5" applyNumberFormat="1" applyFont="1" applyBorder="1" applyAlignment="1">
      <alignment horizontal="center" vertical="center"/>
    </xf>
    <xf numFmtId="4" fontId="96" fillId="0" borderId="0" xfId="5" applyNumberFormat="1" applyFont="1" applyAlignment="1">
      <alignment horizontal="center" vertical="center"/>
    </xf>
    <xf numFmtId="4" fontId="29" fillId="0" borderId="80" xfId="0" applyNumberFormat="1" applyFont="1" applyFill="1" applyBorder="1" applyAlignment="1">
      <alignment vertical="center"/>
    </xf>
    <xf numFmtId="10" fontId="29" fillId="0" borderId="66" xfId="0" applyNumberFormat="1" applyFont="1" applyFill="1" applyBorder="1" applyAlignment="1">
      <alignment vertical="center"/>
    </xf>
    <xf numFmtId="0" fontId="23" fillId="0" borderId="0" xfId="2" applyFont="1" applyBorder="1" applyAlignment="1" applyProtection="1">
      <alignment horizontal="left" vertical="center" wrapText="1"/>
    </xf>
    <xf numFmtId="0" fontId="5" fillId="3" borderId="57" xfId="3" applyFont="1" applyFill="1" applyBorder="1" applyAlignment="1">
      <alignment horizontal="center" vertical="center" wrapText="1"/>
    </xf>
    <xf numFmtId="0" fontId="18" fillId="0" borderId="58" xfId="0" applyFont="1" applyBorder="1" applyAlignment="1">
      <alignment vertical="center" wrapText="1"/>
    </xf>
    <xf numFmtId="49" fontId="23" fillId="0" borderId="0" xfId="3" applyNumberFormat="1" applyFont="1" applyFill="1" applyBorder="1" applyAlignment="1">
      <alignment horizontal="center" vertical="center" wrapText="1"/>
    </xf>
    <xf numFmtId="10" fontId="62" fillId="0" borderId="81" xfId="2" applyNumberFormat="1" applyFont="1" applyBorder="1" applyAlignment="1">
      <alignment horizontal="center" vertical="center"/>
    </xf>
    <xf numFmtId="0" fontId="23" fillId="0" borderId="66" xfId="5" applyFont="1" applyBorder="1" applyAlignment="1" applyProtection="1">
      <alignment horizontal="center" vertical="center"/>
    </xf>
    <xf numFmtId="1" fontId="23" fillId="0" borderId="0" xfId="3" applyNumberFormat="1" applyFont="1" applyBorder="1" applyAlignment="1">
      <alignment horizontal="center" vertical="center" wrapText="1"/>
    </xf>
    <xf numFmtId="0" fontId="23" fillId="0" borderId="0" xfId="5" applyFont="1" applyAlignment="1">
      <alignment vertical="center"/>
    </xf>
    <xf numFmtId="0" fontId="80" fillId="0" borderId="0" xfId="2" applyFont="1" applyBorder="1" applyAlignment="1">
      <alignment horizontal="center" vertical="center"/>
    </xf>
    <xf numFmtId="0" fontId="97" fillId="0" borderId="0" xfId="2" applyFont="1" applyBorder="1" applyAlignment="1">
      <alignment horizontal="center" vertical="center"/>
    </xf>
    <xf numFmtId="0" fontId="18" fillId="0" borderId="66" xfId="5" applyFont="1" applyBorder="1" applyAlignment="1" applyProtection="1">
      <alignment horizontal="center" vertical="center"/>
    </xf>
    <xf numFmtId="0" fontId="67" fillId="0" borderId="0" xfId="5" applyFont="1" applyAlignment="1">
      <alignment horizontal="center" vertical="center"/>
    </xf>
    <xf numFmtId="0" fontId="18" fillId="0" borderId="65" xfId="0" applyFont="1" applyFill="1" applyBorder="1" applyAlignment="1" applyProtection="1">
      <alignment horizontal="center" vertical="center"/>
    </xf>
    <xf numFmtId="0" fontId="67" fillId="0" borderId="0" xfId="2" applyFont="1" applyFill="1" applyAlignment="1">
      <alignment horizontal="center" vertical="center"/>
    </xf>
    <xf numFmtId="0" fontId="67" fillId="0" borderId="0" xfId="2" applyFont="1" applyFill="1" applyBorder="1" applyAlignment="1">
      <alignment horizontal="center" vertical="center"/>
    </xf>
    <xf numFmtId="1" fontId="18" fillId="0" borderId="65" xfId="6" applyNumberFormat="1" applyFont="1" applyFill="1" applyBorder="1" applyAlignment="1">
      <alignment horizontal="center" vertical="center" wrapText="1"/>
    </xf>
    <xf numFmtId="0" fontId="18" fillId="0" borderId="0" xfId="2" applyFont="1" applyFill="1" applyAlignment="1">
      <alignment vertical="center"/>
    </xf>
    <xf numFmtId="49" fontId="18" fillId="0" borderId="58" xfId="3" applyNumberFormat="1" applyFont="1" applyBorder="1" applyAlignment="1">
      <alignment horizontal="center" vertical="center" wrapText="1"/>
    </xf>
    <xf numFmtId="0" fontId="18" fillId="0" borderId="58" xfId="3" applyFont="1" applyFill="1" applyBorder="1" applyAlignment="1">
      <alignment horizontal="left" vertical="center" wrapText="1"/>
    </xf>
    <xf numFmtId="0" fontId="18" fillId="0" borderId="57" xfId="3" applyFont="1" applyFill="1" applyBorder="1" applyAlignment="1">
      <alignment horizontal="left" vertical="center" wrapText="1"/>
    </xf>
    <xf numFmtId="0" fontId="18" fillId="0" borderId="59" xfId="3" applyFont="1" applyFill="1" applyBorder="1" applyAlignment="1">
      <alignment horizontal="left" vertical="center" wrapText="1"/>
    </xf>
    <xf numFmtId="0" fontId="18" fillId="0" borderId="34" xfId="3" applyFont="1" applyFill="1" applyBorder="1" applyAlignment="1">
      <alignment horizontal="left" vertical="center" wrapText="1"/>
    </xf>
    <xf numFmtId="0" fontId="83" fillId="0" borderId="0" xfId="2" applyFont="1" applyBorder="1" applyAlignment="1">
      <alignment horizontal="center" vertical="center"/>
    </xf>
    <xf numFmtId="0" fontId="89" fillId="0" borderId="0" xfId="2" applyFont="1" applyBorder="1" applyAlignment="1">
      <alignment horizontal="center" vertical="center"/>
    </xf>
    <xf numFmtId="1" fontId="18" fillId="0" borderId="8" xfId="3" applyNumberFormat="1" applyFont="1" applyBorder="1" applyAlignment="1">
      <alignment horizontal="center" vertical="center" wrapText="1"/>
    </xf>
    <xf numFmtId="0" fontId="18" fillId="0" borderId="12" xfId="3" applyFont="1" applyBorder="1" applyAlignment="1">
      <alignment horizontal="center" vertical="center" wrapText="1"/>
    </xf>
    <xf numFmtId="4" fontId="27" fillId="0" borderId="34" xfId="3" applyNumberFormat="1" applyFont="1" applyBorder="1" applyAlignment="1">
      <alignment horizontal="left" vertical="center" wrapText="1"/>
    </xf>
    <xf numFmtId="0" fontId="18" fillId="0" borderId="71" xfId="2" applyFont="1" applyBorder="1" applyAlignment="1" applyProtection="1">
      <alignment horizontal="left" vertical="center" wrapText="1"/>
    </xf>
    <xf numFmtId="0" fontId="18" fillId="0" borderId="63" xfId="2" applyFont="1" applyBorder="1" applyAlignment="1" applyProtection="1">
      <alignment horizontal="left" vertical="center" wrapText="1"/>
    </xf>
    <xf numFmtId="0" fontId="27" fillId="0" borderId="63" xfId="0" applyNumberFormat="1" applyFont="1" applyFill="1" applyBorder="1" applyAlignment="1">
      <alignment horizontal="left" vertical="center" wrapText="1"/>
    </xf>
    <xf numFmtId="0" fontId="29" fillId="0" borderId="63" xfId="0" applyNumberFormat="1" applyFont="1" applyFill="1" applyBorder="1" applyAlignment="1">
      <alignment horizontal="left" vertical="center" wrapText="1"/>
    </xf>
    <xf numFmtId="0" fontId="18" fillId="30" borderId="58" xfId="2" applyFont="1" applyFill="1" applyBorder="1" applyAlignment="1" applyProtection="1">
      <alignment horizontal="center" vertical="center"/>
    </xf>
    <xf numFmtId="0" fontId="18" fillId="0" borderId="22" xfId="2" applyFont="1" applyBorder="1" applyAlignment="1" applyProtection="1">
      <alignment vertical="center" wrapText="1"/>
    </xf>
    <xf numFmtId="4" fontId="18" fillId="0" borderId="21" xfId="2" applyNumberFormat="1" applyFont="1" applyBorder="1" applyAlignment="1" applyProtection="1">
      <alignment horizontal="right" vertical="center" wrapText="1"/>
    </xf>
    <xf numFmtId="4" fontId="18" fillId="0" borderId="20" xfId="2" applyNumberFormat="1" applyFont="1" applyBorder="1" applyAlignment="1" applyProtection="1">
      <alignment horizontal="right" vertical="center"/>
    </xf>
    <xf numFmtId="10" fontId="18" fillId="0" borderId="20" xfId="2" applyNumberFormat="1" applyFont="1" applyBorder="1" applyAlignment="1" applyProtection="1">
      <alignment horizontal="right" vertical="center"/>
    </xf>
    <xf numFmtId="0" fontId="23" fillId="0" borderId="65" xfId="2" applyFont="1" applyBorder="1" applyAlignment="1" applyProtection="1">
      <alignment horizontal="right" vertical="center" wrapText="1"/>
    </xf>
    <xf numFmtId="0" fontId="18" fillId="0" borderId="66" xfId="2" applyFont="1" applyBorder="1" applyAlignment="1" applyProtection="1">
      <alignment horizontal="left" vertical="center"/>
    </xf>
    <xf numFmtId="1" fontId="18" fillId="0" borderId="84" xfId="2" applyNumberFormat="1" applyFont="1" applyBorder="1" applyAlignment="1" applyProtection="1">
      <alignment horizontal="left" vertical="center"/>
    </xf>
    <xf numFmtId="0" fontId="18" fillId="0" borderId="0" xfId="2" applyFont="1" applyBorder="1" applyAlignment="1">
      <alignment horizontal="left" vertical="center"/>
    </xf>
    <xf numFmtId="4" fontId="19" fillId="0" borderId="0" xfId="1" applyNumberFormat="1" applyFont="1" applyFill="1" applyBorder="1" applyAlignment="1" applyProtection="1">
      <alignment horizontal="right" vertical="center" wrapText="1"/>
    </xf>
    <xf numFmtId="4" fontId="19" fillId="0" borderId="85" xfId="1" applyNumberFormat="1" applyFont="1" applyFill="1" applyBorder="1" applyAlignment="1" applyProtection="1">
      <alignment horizontal="right" vertical="center" wrapText="1"/>
    </xf>
    <xf numFmtId="10" fontId="19" fillId="0" borderId="85" xfId="1" applyNumberFormat="1" applyFont="1" applyFill="1" applyBorder="1" applyAlignment="1" applyProtection="1">
      <alignment horizontal="right" vertical="center" wrapText="1"/>
    </xf>
    <xf numFmtId="4" fontId="23" fillId="0" borderId="85" xfId="2" applyNumberFormat="1" applyFont="1" applyBorder="1" applyAlignment="1">
      <alignment horizontal="center" vertical="center"/>
    </xf>
    <xf numFmtId="10" fontId="63" fillId="0" borderId="85" xfId="2" applyNumberFormat="1" applyFont="1" applyBorder="1" applyAlignment="1">
      <alignment horizontal="center" vertical="center"/>
    </xf>
    <xf numFmtId="4" fontId="23" fillId="0" borderId="0" xfId="3" applyNumberFormat="1" applyFont="1" applyBorder="1" applyAlignment="1">
      <alignment horizontal="left" vertical="center" wrapText="1"/>
    </xf>
    <xf numFmtId="4" fontId="23" fillId="0" borderId="0" xfId="3" quotePrefix="1" applyNumberFormat="1" applyFont="1" applyBorder="1" applyAlignment="1">
      <alignment horizontal="left" vertical="center" wrapText="1"/>
    </xf>
    <xf numFmtId="0" fontId="23" fillId="0" borderId="0" xfId="3" applyFont="1" applyFill="1" applyBorder="1" applyAlignment="1">
      <alignment horizontal="left" vertical="center" wrapText="1"/>
    </xf>
    <xf numFmtId="1" fontId="5" fillId="28" borderId="24" xfId="2" applyNumberFormat="1" applyFont="1" applyFill="1" applyBorder="1" applyAlignment="1" applyProtection="1">
      <alignment horizontal="center" vertical="center"/>
    </xf>
    <xf numFmtId="0" fontId="4" fillId="28" borderId="58" xfId="2" applyFont="1" applyFill="1" applyBorder="1" applyAlignment="1">
      <alignment horizontal="center" vertical="center"/>
    </xf>
    <xf numFmtId="1" fontId="5" fillId="3" borderId="32" xfId="6" applyNumberFormat="1" applyFont="1" applyFill="1" applyBorder="1" applyAlignment="1">
      <alignment horizontal="center" vertical="center" wrapText="1"/>
    </xf>
    <xf numFmtId="0" fontId="18" fillId="3" borderId="33" xfId="6" applyFont="1" applyFill="1" applyBorder="1" applyAlignment="1">
      <alignment horizontal="center" vertical="center" wrapText="1"/>
    </xf>
    <xf numFmtId="1" fontId="5" fillId="3" borderId="10" xfId="6" applyNumberFormat="1" applyFont="1" applyFill="1" applyBorder="1" applyAlignment="1">
      <alignment horizontal="center" vertical="center" wrapText="1"/>
    </xf>
    <xf numFmtId="0" fontId="18" fillId="3" borderId="11" xfId="6" applyFont="1" applyFill="1" applyBorder="1" applyAlignment="1">
      <alignment horizontal="center" vertical="center" wrapText="1"/>
    </xf>
    <xf numFmtId="0" fontId="23" fillId="0" borderId="0" xfId="6" quotePrefix="1" applyFont="1" applyFill="1" applyBorder="1" applyAlignment="1">
      <alignment horizontal="left" vertical="center" wrapText="1"/>
    </xf>
    <xf numFmtId="0" fontId="23" fillId="0" borderId="0" xfId="6" applyFont="1" applyFill="1" applyBorder="1" applyAlignment="1">
      <alignment horizontal="left" vertical="center" wrapText="1"/>
    </xf>
    <xf numFmtId="0" fontId="19" fillId="0" borderId="86" xfId="4" applyFont="1" applyFill="1" applyBorder="1" applyAlignment="1">
      <alignment horizontal="center" vertical="center" wrapText="1"/>
    </xf>
    <xf numFmtId="1" fontId="18" fillId="0" borderId="85" xfId="5" applyNumberFormat="1" applyFont="1" applyBorder="1" applyAlignment="1" applyProtection="1">
      <alignment horizontal="center" vertical="center" wrapText="1"/>
    </xf>
    <xf numFmtId="1" fontId="18" fillId="0" borderId="86" xfId="3" applyNumberFormat="1" applyFont="1" applyBorder="1" applyAlignment="1">
      <alignment horizontal="center" vertical="center" wrapText="1"/>
    </xf>
    <xf numFmtId="4" fontId="90" fillId="0" borderId="0" xfId="3" applyNumberFormat="1" applyFont="1" applyBorder="1" applyAlignment="1">
      <alignment horizontal="center" vertical="center" wrapText="1"/>
    </xf>
    <xf numFmtId="4" fontId="90" fillId="0" borderId="86" xfId="3" applyNumberFormat="1" applyFont="1" applyBorder="1" applyAlignment="1">
      <alignment horizontal="center" vertical="center" wrapText="1"/>
    </xf>
    <xf numFmtId="0" fontId="5" fillId="0" borderId="57" xfId="3" applyFont="1" applyFill="1" applyBorder="1" applyAlignment="1">
      <alignment horizontal="center" vertical="center" wrapText="1"/>
    </xf>
    <xf numFmtId="0" fontId="23" fillId="0" borderId="58" xfId="3" applyFont="1" applyFill="1" applyBorder="1" applyAlignment="1">
      <alignment horizontal="center" vertical="center" wrapText="1"/>
    </xf>
    <xf numFmtId="0" fontId="18" fillId="0" borderId="86" xfId="5" applyFont="1" applyBorder="1" applyAlignment="1" applyProtection="1">
      <alignment horizontal="center" vertical="center"/>
    </xf>
    <xf numFmtId="1" fontId="19" fillId="0" borderId="85" xfId="5" applyNumberFormat="1" applyFont="1" applyBorder="1" applyAlignment="1" applyProtection="1">
      <alignment horizontal="center" vertical="center" wrapText="1"/>
    </xf>
    <xf numFmtId="4" fontId="18" fillId="0" borderId="86" xfId="3" applyNumberFormat="1" applyFont="1" applyBorder="1" applyAlignment="1">
      <alignment horizontal="right" vertical="center" wrapText="1"/>
    </xf>
    <xf numFmtId="4" fontId="18" fillId="0" borderId="85" xfId="3" applyNumberFormat="1" applyFont="1" applyBorder="1" applyAlignment="1">
      <alignment horizontal="right" vertical="center" wrapText="1"/>
    </xf>
    <xf numFmtId="0" fontId="5" fillId="0" borderId="0" xfId="5" applyFont="1" applyBorder="1" applyAlignment="1">
      <alignment vertical="center"/>
    </xf>
    <xf numFmtId="0" fontId="23" fillId="0" borderId="85" xfId="3" applyFont="1" applyFill="1" applyBorder="1" applyAlignment="1">
      <alignment horizontal="left" vertical="center" wrapText="1"/>
    </xf>
    <xf numFmtId="0" fontId="23" fillId="0" borderId="28" xfId="3" applyFont="1" applyFill="1" applyBorder="1" applyAlignment="1">
      <alignment horizontal="left" vertical="center" wrapText="1"/>
    </xf>
    <xf numFmtId="4" fontId="23" fillId="0" borderId="0" xfId="3" applyNumberFormat="1" applyFont="1" applyBorder="1" applyAlignment="1">
      <alignment horizontal="left" vertical="center" wrapText="1"/>
    </xf>
    <xf numFmtId="4" fontId="23" fillId="0" borderId="84" xfId="3" applyNumberFormat="1" applyFont="1" applyBorder="1" applyAlignment="1">
      <alignment horizontal="left" vertical="center" wrapText="1"/>
    </xf>
    <xf numFmtId="4" fontId="23" fillId="0" borderId="27" xfId="3" applyNumberFormat="1" applyFont="1" applyBorder="1" applyAlignment="1">
      <alignment horizontal="left" vertical="center" wrapText="1"/>
    </xf>
    <xf numFmtId="4" fontId="23" fillId="0" borderId="26" xfId="3" applyNumberFormat="1" applyFont="1" applyBorder="1" applyAlignment="1">
      <alignment horizontal="left" vertical="center" wrapText="1"/>
    </xf>
    <xf numFmtId="0" fontId="23" fillId="0" borderId="12" xfId="3" applyFont="1" applyFill="1" applyBorder="1" applyAlignment="1">
      <alignment horizontal="left" vertical="center" wrapText="1"/>
    </xf>
    <xf numFmtId="0" fontId="23" fillId="0" borderId="19" xfId="3" applyFont="1" applyFill="1" applyBorder="1" applyAlignment="1">
      <alignment horizontal="left" vertical="center" wrapText="1"/>
    </xf>
    <xf numFmtId="0" fontId="23" fillId="0" borderId="0" xfId="6" quotePrefix="1" applyFont="1" applyFill="1" applyBorder="1" applyAlignment="1">
      <alignment horizontal="left" vertical="center" wrapText="1"/>
    </xf>
    <xf numFmtId="0" fontId="23" fillId="0" borderId="0" xfId="6" applyFont="1" applyFill="1" applyBorder="1" applyAlignment="1">
      <alignment horizontal="left" vertical="center" wrapText="1"/>
    </xf>
    <xf numFmtId="0" fontId="23" fillId="0" borderId="36" xfId="6" applyFont="1" applyFill="1" applyBorder="1" applyAlignment="1">
      <alignment horizontal="left" vertical="center" wrapText="1"/>
    </xf>
    <xf numFmtId="0" fontId="23" fillId="0" borderId="76" xfId="6" applyFont="1" applyFill="1" applyBorder="1" applyAlignment="1">
      <alignment horizontal="left" vertical="center" wrapText="1"/>
    </xf>
    <xf numFmtId="0" fontId="66" fillId="0" borderId="0" xfId="2" applyFont="1" applyBorder="1" applyAlignment="1" applyProtection="1">
      <alignment horizontal="left" vertical="center" wrapText="1"/>
    </xf>
    <xf numFmtId="0" fontId="66" fillId="0" borderId="83" xfId="2" applyFont="1" applyBorder="1" applyAlignment="1" applyProtection="1">
      <alignment horizontal="left" vertical="center" wrapText="1"/>
    </xf>
    <xf numFmtId="0" fontId="66" fillId="0" borderId="36" xfId="2" applyFont="1" applyBorder="1" applyAlignment="1" applyProtection="1">
      <alignment horizontal="left" vertical="center" wrapText="1"/>
    </xf>
    <xf numFmtId="0" fontId="23" fillId="0" borderId="0" xfId="2" applyFont="1" applyBorder="1" applyAlignment="1" applyProtection="1">
      <alignment horizontal="left" vertical="center" wrapText="1"/>
    </xf>
    <xf numFmtId="0" fontId="23" fillId="0" borderId="36" xfId="2" applyFont="1" applyBorder="1" applyAlignment="1" applyProtection="1">
      <alignment horizontal="left" vertical="center" wrapText="1"/>
    </xf>
    <xf numFmtId="0" fontId="23" fillId="0" borderId="0" xfId="51" applyFont="1" applyFill="1" applyBorder="1" applyAlignment="1">
      <alignment horizontal="left" vertical="center" wrapText="1"/>
    </xf>
    <xf numFmtId="0" fontId="23" fillId="0" borderId="36" xfId="51" applyFont="1" applyFill="1" applyBorder="1" applyAlignment="1">
      <alignment horizontal="left" vertical="center" wrapText="1"/>
    </xf>
    <xf numFmtId="0" fontId="4" fillId="0" borderId="15" xfId="2" applyFont="1" applyBorder="1" applyAlignment="1" applyProtection="1">
      <alignment horizontal="center" vertical="center"/>
    </xf>
    <xf numFmtId="0" fontId="41" fillId="0" borderId="4" xfId="2" applyFont="1" applyBorder="1" applyAlignment="1" applyProtection="1">
      <alignment horizontal="center" vertical="center"/>
    </xf>
    <xf numFmtId="4" fontId="23" fillId="0" borderId="12" xfId="3" applyNumberFormat="1" applyFont="1" applyBorder="1" applyAlignment="1">
      <alignment horizontal="justify" vertical="center" wrapText="1"/>
    </xf>
    <xf numFmtId="4" fontId="23" fillId="0" borderId="19" xfId="3" applyNumberFormat="1" applyFont="1" applyBorder="1" applyAlignment="1">
      <alignment horizontal="justify" vertical="center" wrapText="1"/>
    </xf>
    <xf numFmtId="4" fontId="23" fillId="0" borderId="12" xfId="3" applyNumberFormat="1" applyFont="1" applyBorder="1" applyAlignment="1">
      <alignment horizontal="left" vertical="center" wrapText="1"/>
    </xf>
    <xf numFmtId="4" fontId="23" fillId="0" borderId="19" xfId="3" applyNumberFormat="1" applyFont="1" applyBorder="1" applyAlignment="1">
      <alignment horizontal="left" vertical="center" wrapText="1"/>
    </xf>
    <xf numFmtId="4" fontId="23" fillId="0" borderId="76" xfId="3" applyNumberFormat="1" applyFont="1" applyBorder="1" applyAlignment="1">
      <alignment horizontal="left" vertical="center" wrapText="1"/>
    </xf>
    <xf numFmtId="10" fontId="6" fillId="0" borderId="9" xfId="2" applyNumberFormat="1" applyFont="1" applyBorder="1" applyAlignment="1" applyProtection="1">
      <alignment horizontal="center" vertical="center" wrapText="1"/>
    </xf>
    <xf numFmtId="10" fontId="6" fillId="0" borderId="7" xfId="2" applyNumberFormat="1" applyFont="1" applyBorder="1" applyAlignment="1" applyProtection="1">
      <alignment horizontal="center" vertical="center" wrapText="1"/>
    </xf>
    <xf numFmtId="4" fontId="19" fillId="0" borderId="9" xfId="2" applyNumberFormat="1" applyFont="1" applyBorder="1" applyAlignment="1" applyProtection="1">
      <alignment horizontal="center" vertical="center" wrapText="1"/>
    </xf>
    <xf numFmtId="4" fontId="19" fillId="0" borderId="7" xfId="2" applyNumberFormat="1" applyFont="1" applyBorder="1" applyAlignment="1" applyProtection="1">
      <alignment horizontal="center" vertical="center" wrapText="1"/>
    </xf>
    <xf numFmtId="4" fontId="6" fillId="0" borderId="9" xfId="2" applyNumberFormat="1" applyFont="1" applyBorder="1" applyAlignment="1" applyProtection="1">
      <alignment horizontal="center" vertical="center" wrapText="1"/>
    </xf>
    <xf numFmtId="4" fontId="6" fillId="0" borderId="7" xfId="2" applyNumberFormat="1" applyFont="1" applyBorder="1" applyAlignment="1" applyProtection="1">
      <alignment horizontal="center" vertical="center" wrapText="1"/>
    </xf>
    <xf numFmtId="4" fontId="23" fillId="0" borderId="27" xfId="3" quotePrefix="1" applyNumberFormat="1" applyFont="1" applyBorder="1" applyAlignment="1">
      <alignment horizontal="left" vertical="center" wrapText="1"/>
    </xf>
    <xf numFmtId="4" fontId="19" fillId="0" borderId="0" xfId="3" applyNumberFormat="1" applyFont="1" applyBorder="1" applyAlignment="1">
      <alignment horizontal="center" vertical="center" wrapText="1"/>
    </xf>
    <xf numFmtId="4" fontId="59" fillId="0" borderId="0" xfId="3" applyNumberFormat="1" applyFont="1" applyBorder="1" applyAlignment="1">
      <alignment horizontal="left" vertical="center" wrapText="1"/>
    </xf>
    <xf numFmtId="0" fontId="75" fillId="0" borderId="0" xfId="0" applyFont="1" applyFill="1" applyBorder="1" applyAlignment="1">
      <alignment horizontal="left" vertical="center" wrapText="1"/>
    </xf>
    <xf numFmtId="0" fontId="75" fillId="0" borderId="36" xfId="0" applyFont="1" applyFill="1" applyBorder="1" applyAlignment="1">
      <alignment horizontal="left" vertical="center" wrapText="1"/>
    </xf>
    <xf numFmtId="4" fontId="23" fillId="0" borderId="26" xfId="3" quotePrefix="1" applyNumberFormat="1" applyFont="1" applyBorder="1" applyAlignment="1">
      <alignment horizontal="left" vertical="center" wrapText="1"/>
    </xf>
    <xf numFmtId="4" fontId="23" fillId="0" borderId="0" xfId="3" quotePrefix="1" applyNumberFormat="1" applyFont="1" applyBorder="1" applyAlignment="1">
      <alignment horizontal="left" vertical="center" wrapText="1"/>
    </xf>
    <xf numFmtId="0" fontId="23" fillId="0" borderId="12" xfId="0" applyNumberFormat="1" applyFont="1" applyFill="1" applyBorder="1" applyAlignment="1" applyProtection="1">
      <alignment horizontal="left" vertical="center" wrapText="1"/>
    </xf>
    <xf numFmtId="0" fontId="23" fillId="0" borderId="19" xfId="0" applyNumberFormat="1" applyFont="1" applyFill="1" applyBorder="1" applyAlignment="1" applyProtection="1">
      <alignment horizontal="left" vertical="center" wrapText="1"/>
    </xf>
    <xf numFmtId="0" fontId="23" fillId="0" borderId="0" xfId="0" applyNumberFormat="1" applyFont="1" applyFill="1" applyBorder="1" applyAlignment="1" applyProtection="1">
      <alignment horizontal="left" vertical="center" wrapText="1"/>
    </xf>
    <xf numFmtId="0" fontId="23" fillId="0" borderId="36" xfId="0" applyNumberFormat="1" applyFont="1" applyFill="1" applyBorder="1" applyAlignment="1" applyProtection="1">
      <alignment horizontal="left" vertical="center" wrapText="1"/>
    </xf>
    <xf numFmtId="0" fontId="23" fillId="0" borderId="76" xfId="0" applyNumberFormat="1" applyFont="1" applyFill="1" applyBorder="1" applyAlignment="1" applyProtection="1">
      <alignment horizontal="left" vertical="center" wrapText="1"/>
    </xf>
    <xf numFmtId="0" fontId="19" fillId="0" borderId="27" xfId="2" applyFont="1" applyBorder="1" applyAlignment="1" applyProtection="1">
      <alignment horizontal="left" vertical="center" wrapText="1"/>
    </xf>
    <xf numFmtId="0" fontId="19" fillId="0" borderId="26" xfId="2" applyFont="1" applyBorder="1" applyAlignment="1" applyProtection="1">
      <alignment horizontal="left" vertical="center" wrapText="1"/>
    </xf>
    <xf numFmtId="0" fontId="23" fillId="0" borderId="27" xfId="0" applyNumberFormat="1" applyFont="1" applyFill="1" applyBorder="1" applyAlignment="1" applyProtection="1">
      <alignment horizontal="left" vertical="center" wrapText="1"/>
    </xf>
    <xf numFmtId="0" fontId="23" fillId="0" borderId="26" xfId="0" applyNumberFormat="1" applyFont="1" applyFill="1" applyBorder="1" applyAlignment="1" applyProtection="1">
      <alignment horizontal="left" vertical="center" wrapText="1"/>
    </xf>
    <xf numFmtId="0" fontId="23" fillId="0" borderId="0" xfId="3" applyFont="1" applyBorder="1" applyAlignment="1">
      <alignment horizontal="justify" vertical="center" wrapText="1"/>
    </xf>
    <xf numFmtId="0" fontId="23" fillId="0" borderId="76" xfId="3" applyFont="1" applyBorder="1" applyAlignment="1">
      <alignment horizontal="justify" vertical="center" wrapText="1"/>
    </xf>
    <xf numFmtId="0" fontId="66" fillId="0" borderId="0" xfId="6" applyFont="1" applyFill="1" applyBorder="1" applyAlignment="1">
      <alignment horizontal="left" vertical="center" wrapText="1"/>
    </xf>
    <xf numFmtId="0" fontId="23" fillId="0" borderId="12" xfId="2" applyFont="1" applyBorder="1" applyAlignment="1" applyProtection="1">
      <alignment horizontal="left" vertical="center" wrapText="1"/>
    </xf>
    <xf numFmtId="0" fontId="23" fillId="0" borderId="19" xfId="2" applyFont="1" applyBorder="1" applyAlignment="1" applyProtection="1">
      <alignment horizontal="left" vertical="center" wrapText="1"/>
    </xf>
    <xf numFmtId="0" fontId="23" fillId="0" borderId="0" xfId="5" quotePrefix="1" applyFont="1" applyBorder="1" applyAlignment="1">
      <alignment horizontal="justify" vertical="center" wrapText="1"/>
    </xf>
    <xf numFmtId="0" fontId="23" fillId="0" borderId="0" xfId="5" applyFont="1" applyBorder="1" applyAlignment="1">
      <alignment horizontal="justify" vertical="center" wrapText="1"/>
    </xf>
    <xf numFmtId="0" fontId="23" fillId="0" borderId="76" xfId="5" applyFont="1" applyBorder="1" applyAlignment="1">
      <alignment horizontal="justify" vertical="center" wrapText="1"/>
    </xf>
    <xf numFmtId="4" fontId="23" fillId="0" borderId="0" xfId="3" applyNumberFormat="1" applyFont="1" applyFill="1" applyBorder="1" applyAlignment="1">
      <alignment horizontal="left" vertical="center" wrapText="1"/>
    </xf>
    <xf numFmtId="4" fontId="23" fillId="0" borderId="76" xfId="3" applyNumberFormat="1" applyFont="1" applyFill="1" applyBorder="1" applyAlignment="1">
      <alignment horizontal="left" vertical="center" wrapText="1"/>
    </xf>
    <xf numFmtId="4" fontId="23" fillId="0" borderId="12" xfId="3" quotePrefix="1" applyNumberFormat="1" applyFont="1" applyBorder="1" applyAlignment="1">
      <alignment horizontal="left" vertical="center" wrapText="1"/>
    </xf>
    <xf numFmtId="0" fontId="60" fillId="0" borderId="0" xfId="0" applyNumberFormat="1" applyFont="1" applyFill="1" applyBorder="1" applyAlignment="1" applyProtection="1">
      <alignment horizontal="left" vertical="center" wrapText="1"/>
    </xf>
    <xf numFmtId="0" fontId="60" fillId="0" borderId="82" xfId="0" applyNumberFormat="1" applyFont="1" applyFill="1" applyBorder="1" applyAlignment="1" applyProtection="1">
      <alignment horizontal="left" vertical="center" wrapText="1"/>
    </xf>
    <xf numFmtId="4" fontId="23" fillId="0" borderId="36" xfId="3" applyNumberFormat="1" applyFont="1" applyBorder="1" applyAlignment="1">
      <alignment horizontal="left" vertical="center" wrapText="1"/>
    </xf>
    <xf numFmtId="0" fontId="23" fillId="0" borderId="12" xfId="3" applyFont="1" applyBorder="1" applyAlignment="1">
      <alignment horizontal="left" vertical="center" wrapText="1"/>
    </xf>
    <xf numFmtId="0" fontId="23" fillId="0" borderId="27" xfId="2" applyFont="1" applyBorder="1" applyAlignment="1" applyProtection="1">
      <alignment horizontal="left" vertical="center" wrapText="1"/>
    </xf>
    <xf numFmtId="0" fontId="23" fillId="0" borderId="26" xfId="2" applyFont="1" applyBorder="1" applyAlignment="1" applyProtection="1">
      <alignment horizontal="left" vertical="center" wrapText="1"/>
    </xf>
    <xf numFmtId="0" fontId="23" fillId="0" borderId="27" xfId="2" applyFont="1" applyBorder="1" applyAlignment="1" applyProtection="1">
      <alignment horizontal="justify" vertical="center" wrapText="1"/>
    </xf>
    <xf numFmtId="0" fontId="23" fillId="0" borderId="26" xfId="2" applyFont="1" applyBorder="1" applyAlignment="1" applyProtection="1">
      <alignment horizontal="justify" vertical="center" wrapText="1"/>
    </xf>
    <xf numFmtId="0" fontId="23" fillId="0" borderId="84" xfId="2" applyFont="1" applyBorder="1" applyAlignment="1" applyProtection="1">
      <alignment horizontal="left" vertical="center" wrapText="1"/>
    </xf>
    <xf numFmtId="4" fontId="23" fillId="0" borderId="27" xfId="1" applyNumberFormat="1" applyFont="1" applyFill="1" applyBorder="1" applyAlignment="1" applyProtection="1">
      <alignment horizontal="left" vertical="center" wrapText="1"/>
    </xf>
    <xf numFmtId="4" fontId="23" fillId="0" borderId="26" xfId="1" applyNumberFormat="1" applyFont="1" applyFill="1" applyBorder="1" applyAlignment="1" applyProtection="1">
      <alignment horizontal="left" vertical="center" wrapText="1"/>
    </xf>
    <xf numFmtId="4" fontId="23" fillId="0" borderId="27" xfId="3" applyNumberFormat="1" applyFont="1" applyFill="1" applyBorder="1" applyAlignment="1">
      <alignment horizontal="left" vertical="center" wrapText="1"/>
    </xf>
    <xf numFmtId="4" fontId="23" fillId="0" borderId="26" xfId="3" applyNumberFormat="1" applyFont="1" applyFill="1" applyBorder="1" applyAlignment="1">
      <alignment horizontal="left" vertical="center" wrapText="1"/>
    </xf>
    <xf numFmtId="1" fontId="23" fillId="0" borderId="85" xfId="6" applyNumberFormat="1" applyFont="1" applyFill="1" applyBorder="1" applyAlignment="1">
      <alignment horizontal="center" vertical="center" wrapText="1"/>
    </xf>
    <xf numFmtId="2" fontId="18" fillId="0" borderId="85" xfId="6" applyNumberFormat="1" applyFont="1" applyFill="1" applyBorder="1" applyAlignment="1">
      <alignment horizontal="right" vertical="center" wrapText="1"/>
    </xf>
    <xf numFmtId="4" fontId="29" fillId="0" borderId="87" xfId="50" applyNumberFormat="1" applyFont="1" applyBorder="1" applyAlignment="1">
      <alignment horizontal="left" vertical="center" wrapText="1"/>
    </xf>
    <xf numFmtId="4" fontId="29" fillId="0" borderId="0" xfId="50" applyNumberFormat="1" applyFont="1" applyBorder="1" applyAlignment="1">
      <alignment horizontal="left" vertical="center" wrapText="1"/>
    </xf>
    <xf numFmtId="4" fontId="29" fillId="0" borderId="0" xfId="50" applyNumberFormat="1" applyFont="1" applyBorder="1" applyAlignment="1">
      <alignment horizontal="right" vertical="center" wrapText="1"/>
    </xf>
    <xf numFmtId="10" fontId="18" fillId="0" borderId="85" xfId="3" applyNumberFormat="1" applyFont="1" applyBorder="1" applyAlignment="1">
      <alignment horizontal="right" vertical="center" wrapText="1"/>
    </xf>
    <xf numFmtId="0" fontId="30" fillId="0" borderId="72" xfId="49" quotePrefix="1" applyNumberFormat="1" applyFont="1" applyBorder="1" applyAlignment="1">
      <alignment horizontal="justify" vertical="center" wrapText="1"/>
    </xf>
    <xf numFmtId="1" fontId="23" fillId="0" borderId="85" xfId="2" applyNumberFormat="1" applyFont="1" applyBorder="1" applyAlignment="1" applyProtection="1">
      <alignment horizontal="center" vertical="center"/>
    </xf>
    <xf numFmtId="4" fontId="23" fillId="0" borderId="57" xfId="2" applyNumberFormat="1" applyFont="1" applyBorder="1" applyAlignment="1" applyProtection="1">
      <alignment horizontal="right" vertical="center" wrapText="1"/>
    </xf>
    <xf numFmtId="4" fontId="23" fillId="0" borderId="59" xfId="2" applyNumberFormat="1" applyFont="1" applyBorder="1" applyAlignment="1" applyProtection="1">
      <alignment horizontal="right" vertical="center" wrapText="1"/>
    </xf>
    <xf numFmtId="4" fontId="23" fillId="0" borderId="1" xfId="2" applyNumberFormat="1" applyFont="1" applyBorder="1" applyAlignment="1" applyProtection="1">
      <alignment horizontal="left" vertical="center"/>
    </xf>
    <xf numFmtId="1" fontId="18" fillId="0" borderId="85" xfId="6" applyNumberFormat="1" applyFont="1" applyFill="1" applyBorder="1" applyAlignment="1">
      <alignment horizontal="center" vertical="center" wrapText="1"/>
    </xf>
    <xf numFmtId="1" fontId="5" fillId="0" borderId="12" xfId="6" applyNumberFormat="1" applyFont="1" applyFill="1" applyBorder="1" applyAlignment="1">
      <alignment horizontal="center" vertical="center" wrapText="1"/>
    </xf>
    <xf numFmtId="0" fontId="18" fillId="0" borderId="12" xfId="6" applyFont="1" applyFill="1" applyBorder="1" applyAlignment="1">
      <alignment horizontal="center" vertical="center" wrapText="1"/>
    </xf>
    <xf numFmtId="4" fontId="19" fillId="0" borderId="22" xfId="3" applyNumberFormat="1" applyFont="1" applyBorder="1" applyAlignment="1">
      <alignment horizontal="center" vertical="center" wrapText="1"/>
    </xf>
    <xf numFmtId="0" fontId="18" fillId="0" borderId="22" xfId="6" quotePrefix="1" applyFont="1" applyFill="1" applyBorder="1" applyAlignment="1">
      <alignment horizontal="left" vertical="center" wrapText="1"/>
    </xf>
    <xf numFmtId="4" fontId="19" fillId="0" borderId="21" xfId="3" applyNumberFormat="1" applyFont="1" applyBorder="1" applyAlignment="1">
      <alignment horizontal="right" vertical="center" wrapText="1"/>
    </xf>
    <xf numFmtId="1" fontId="18" fillId="0" borderId="85" xfId="0" applyNumberFormat="1" applyFont="1" applyBorder="1" applyAlignment="1" applyProtection="1">
      <alignment horizontal="center" vertical="center" wrapText="1"/>
    </xf>
    <xf numFmtId="0" fontId="73" fillId="0" borderId="0" xfId="0" applyFont="1" applyFill="1" applyBorder="1" applyAlignment="1">
      <alignment vertical="center" wrapText="1"/>
    </xf>
    <xf numFmtId="0" fontId="74" fillId="0" borderId="0" xfId="0" applyFont="1" applyFill="1" applyBorder="1" applyAlignment="1">
      <alignment vertical="center" wrapText="1"/>
    </xf>
    <xf numFmtId="0" fontId="73" fillId="0" borderId="85" xfId="0" applyFont="1" applyFill="1" applyBorder="1" applyAlignment="1">
      <alignment vertical="center" wrapText="1"/>
    </xf>
    <xf numFmtId="0" fontId="74" fillId="0" borderId="85" xfId="0" applyFont="1" applyFill="1" applyBorder="1" applyAlignment="1">
      <alignment vertical="center" wrapText="1"/>
    </xf>
    <xf numFmtId="4" fontId="23" fillId="0" borderId="85" xfId="3" applyNumberFormat="1" applyFont="1" applyBorder="1" applyAlignment="1">
      <alignment horizontal="right" vertical="center" wrapText="1"/>
    </xf>
    <xf numFmtId="0" fontId="18" fillId="3" borderId="0" xfId="6" applyFont="1" applyFill="1" applyBorder="1" applyAlignment="1">
      <alignment horizontal="center" vertical="center" wrapText="1"/>
    </xf>
    <xf numFmtId="10" fontId="18" fillId="0" borderId="65" xfId="6" applyNumberFormat="1" applyFont="1" applyFill="1" applyBorder="1" applyAlignment="1">
      <alignment horizontal="right" vertical="center" wrapText="1"/>
    </xf>
    <xf numFmtId="0" fontId="4" fillId="0" borderId="0" xfId="6" applyFont="1" applyFill="1" applyBorder="1" applyAlignment="1">
      <alignment horizontal="center" vertical="center" wrapText="1"/>
    </xf>
    <xf numFmtId="0" fontId="4" fillId="0" borderId="0" xfId="6" applyFont="1" applyFill="1" applyBorder="1" applyAlignment="1">
      <alignment horizontal="left" vertical="center" wrapText="1"/>
    </xf>
    <xf numFmtId="0" fontId="4" fillId="0" borderId="0" xfId="6" applyFont="1" applyFill="1" applyBorder="1" applyAlignment="1">
      <alignment vertical="center" wrapText="1"/>
    </xf>
    <xf numFmtId="3" fontId="4" fillId="0" borderId="0" xfId="6" applyNumberFormat="1" applyFont="1" applyFill="1" applyBorder="1" applyAlignment="1">
      <alignment horizontal="right" vertical="center" wrapText="1"/>
    </xf>
    <xf numFmtId="0" fontId="4" fillId="0" borderId="0" xfId="2" applyFont="1" applyFill="1" applyBorder="1" applyAlignment="1" applyProtection="1">
      <alignment horizontal="center" vertical="center"/>
    </xf>
    <xf numFmtId="1" fontId="5" fillId="3" borderId="88" xfId="6" applyNumberFormat="1" applyFont="1" applyFill="1" applyBorder="1" applyAlignment="1">
      <alignment horizontal="center" vertical="center" wrapText="1"/>
    </xf>
  </cellXfs>
  <cellStyles count="53">
    <cellStyle name="20% - akcent 1 2" xfId="8" xr:uid="{00000000-0005-0000-0000-000000000000}"/>
    <cellStyle name="20% - akcent 2 2" xfId="9" xr:uid="{00000000-0005-0000-0000-000001000000}"/>
    <cellStyle name="20% - akcent 3 2" xfId="10" xr:uid="{00000000-0005-0000-0000-000002000000}"/>
    <cellStyle name="20% - akcent 4 2" xfId="11" xr:uid="{00000000-0005-0000-0000-000003000000}"/>
    <cellStyle name="20% - akcent 5 2" xfId="12" xr:uid="{00000000-0005-0000-0000-000004000000}"/>
    <cellStyle name="20% - akcent 6 2" xfId="13" xr:uid="{00000000-0005-0000-0000-000005000000}"/>
    <cellStyle name="40% - akcent 1 2" xfId="14" xr:uid="{00000000-0005-0000-0000-000006000000}"/>
    <cellStyle name="40% - akcent 2 2" xfId="15" xr:uid="{00000000-0005-0000-0000-000007000000}"/>
    <cellStyle name="40% - akcent 3 2" xfId="16" xr:uid="{00000000-0005-0000-0000-000008000000}"/>
    <cellStyle name="40% - akcent 4 2" xfId="17" xr:uid="{00000000-0005-0000-0000-000009000000}"/>
    <cellStyle name="40% - akcent 5 2" xfId="18" xr:uid="{00000000-0005-0000-0000-00000A000000}"/>
    <cellStyle name="40% - akcent 6 2" xfId="19" xr:uid="{00000000-0005-0000-0000-00000B000000}"/>
    <cellStyle name="60% - akcent 1 2" xfId="20" xr:uid="{00000000-0005-0000-0000-00000C000000}"/>
    <cellStyle name="60% - akcent 2 2" xfId="21" xr:uid="{00000000-0005-0000-0000-00000D000000}"/>
    <cellStyle name="60% - akcent 3 2" xfId="22" xr:uid="{00000000-0005-0000-0000-00000E000000}"/>
    <cellStyle name="60% - akcent 4 2" xfId="23" xr:uid="{00000000-0005-0000-0000-00000F000000}"/>
    <cellStyle name="60% - akcent 5 2" xfId="24" xr:uid="{00000000-0005-0000-0000-000010000000}"/>
    <cellStyle name="60% - akcent 6 2" xfId="25" xr:uid="{00000000-0005-0000-0000-000011000000}"/>
    <cellStyle name="Akcent 1 2" xfId="26" xr:uid="{00000000-0005-0000-0000-000012000000}"/>
    <cellStyle name="Akcent 2 2" xfId="27" xr:uid="{00000000-0005-0000-0000-000013000000}"/>
    <cellStyle name="Akcent 3 2" xfId="28" xr:uid="{00000000-0005-0000-0000-000014000000}"/>
    <cellStyle name="Akcent 4 2" xfId="29" xr:uid="{00000000-0005-0000-0000-000015000000}"/>
    <cellStyle name="Akcent 5 2" xfId="30" xr:uid="{00000000-0005-0000-0000-000016000000}"/>
    <cellStyle name="Akcent 6 2" xfId="31" xr:uid="{00000000-0005-0000-0000-000017000000}"/>
    <cellStyle name="Dane wejściowe 2" xfId="32" xr:uid="{00000000-0005-0000-0000-000018000000}"/>
    <cellStyle name="Dane wyjściowe 2" xfId="33" xr:uid="{00000000-0005-0000-0000-000019000000}"/>
    <cellStyle name="Dobre 2" xfId="34" xr:uid="{00000000-0005-0000-0000-00001A000000}"/>
    <cellStyle name="Dział" xfId="4" xr:uid="{00000000-0005-0000-0000-00001B000000}"/>
    <cellStyle name="Dziesiętny" xfId="52" builtinId="3"/>
    <cellStyle name="Dziesiętny 2" xfId="49" xr:uid="{00000000-0005-0000-0000-00001D000000}"/>
    <cellStyle name="Komórka połączona 2" xfId="35" xr:uid="{00000000-0005-0000-0000-00001E000000}"/>
    <cellStyle name="Komórka zaznaczona 2" xfId="36" xr:uid="{00000000-0005-0000-0000-00001F000000}"/>
    <cellStyle name="Nagłówek 1 2" xfId="37" xr:uid="{00000000-0005-0000-0000-000020000000}"/>
    <cellStyle name="Nagłówek 2 2" xfId="38" xr:uid="{00000000-0005-0000-0000-000021000000}"/>
    <cellStyle name="Nagłówek 3 2" xfId="39" xr:uid="{00000000-0005-0000-0000-000022000000}"/>
    <cellStyle name="Nagłówek 4 2" xfId="40" xr:uid="{00000000-0005-0000-0000-000023000000}"/>
    <cellStyle name="Neutralne 2" xfId="41" xr:uid="{00000000-0005-0000-0000-000024000000}"/>
    <cellStyle name="Normalny" xfId="0" builtinId="0"/>
    <cellStyle name="Normalny_B-2001" xfId="7" xr:uid="{00000000-0005-0000-0000-000026000000}"/>
    <cellStyle name="Normalny_B-2001(29.01.2001)" xfId="2" xr:uid="{00000000-0005-0000-0000-000027000000}"/>
    <cellStyle name="Normalny_Zeszyt1" xfId="5" xr:uid="{00000000-0005-0000-0000-000028000000}"/>
    <cellStyle name="Obliczenia 2" xfId="42" xr:uid="{00000000-0005-0000-0000-000029000000}"/>
    <cellStyle name="Rozdział" xfId="6" xr:uid="{00000000-0005-0000-0000-00002A000000}"/>
    <cellStyle name="Rozdział 2" xfId="51" xr:uid="{00000000-0005-0000-0000-00002B000000}"/>
    <cellStyle name="Suma 2" xfId="43" xr:uid="{00000000-0005-0000-0000-00002C000000}"/>
    <cellStyle name="Tekst objaśnienia 2" xfId="44" xr:uid="{00000000-0005-0000-0000-00002D000000}"/>
    <cellStyle name="Tekst ostrzeżenia 2" xfId="45" xr:uid="{00000000-0005-0000-0000-00002E000000}"/>
    <cellStyle name="Tytuł 2" xfId="46" xr:uid="{00000000-0005-0000-0000-00002F000000}"/>
    <cellStyle name="Uwaga 2" xfId="47" xr:uid="{00000000-0005-0000-0000-000030000000}"/>
    <cellStyle name="Walutowy" xfId="1" builtinId="4"/>
    <cellStyle name="Zadanie" xfId="3" xr:uid="{00000000-0005-0000-0000-000032000000}"/>
    <cellStyle name="Zadanie 2" xfId="50" xr:uid="{00000000-0005-0000-0000-000033000000}"/>
    <cellStyle name="Złe 2" xfId="48" xr:uid="{00000000-0005-0000-0000-000034000000}"/>
  </cellStyles>
  <dxfs count="0"/>
  <tableStyles count="0" defaultTableStyle="TableStyleMedium2" defaultPivotStyle="PivotStyleLight16"/>
  <colors>
    <mruColors>
      <color rgb="FF0DCF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d\Moje%20dokumenty\BUD&#379;ET%202009\Moje%20dokumenty\BUD&#379;ET\U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UM_LECZNA\SYS\Moje%20dokumenty\BUD&#379;ET\UM-20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Moje%20dokumenty\BUD&#379;ET\UM-2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Za&#322;&#261;cznik%20Nr%201_15_11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po KF"/>
      <sheetName val="Wydatki - po KF"/>
      <sheetName val="PLAN FIN.UM-2001 "/>
      <sheetName val="ZADANIA-2001"/>
      <sheetName val="Wydatki"/>
      <sheetName val="Dochody"/>
    </sheetNames>
    <sheetDataSet>
      <sheetData sheetId="0"/>
      <sheetData sheetId="1"/>
      <sheetData sheetId="2"/>
      <sheetData sheetId="3"/>
      <sheetData sheetId="4"/>
      <sheetData sheetId="5">
        <row r="1">
          <cell r="A1" t="str">
            <v>Lp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row r="467">
          <cell r="H467">
            <v>104378000</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S1991"/>
  <sheetViews>
    <sheetView tabSelected="1" zoomScale="80" zoomScaleNormal="80" workbookViewId="0">
      <pane ySplit="2" topLeftCell="A3" activePane="bottomLeft" state="frozen"/>
      <selection pane="bottomLeft" activeCell="E5" sqref="E5"/>
    </sheetView>
  </sheetViews>
  <sheetFormatPr defaultColWidth="11.44140625" defaultRowHeight="37.799999999999997"/>
  <cols>
    <col min="1" max="1" width="5" style="648" customWidth="1"/>
    <col min="2" max="2" width="13.88671875" style="8" customWidth="1"/>
    <col min="3" max="3" width="5.6640625" style="7" customWidth="1"/>
    <col min="4" max="4" width="6" style="6" customWidth="1"/>
    <col min="5" max="5" width="110.77734375" style="5" customWidth="1"/>
    <col min="6" max="6" width="0.44140625" style="4" hidden="1" customWidth="1"/>
    <col min="7" max="11" width="24" style="3" hidden="1" customWidth="1"/>
    <col min="12" max="14" width="30.33203125" style="2" customWidth="1"/>
    <col min="15" max="15" width="18.33203125" style="948" customWidth="1"/>
    <col min="16" max="16" width="11.44140625" style="974"/>
    <col min="17" max="17" width="11.44140625" style="1"/>
    <col min="18" max="18" width="25.33203125" style="1" bestFit="1" customWidth="1"/>
    <col min="19" max="16384" width="11.44140625" style="1"/>
  </cols>
  <sheetData>
    <row r="1" spans="1:70" s="10" customFormat="1" ht="34.049999999999997" customHeight="1">
      <c r="A1" s="1279" t="s">
        <v>140</v>
      </c>
      <c r="B1" s="387" t="s">
        <v>139</v>
      </c>
      <c r="C1" s="157"/>
      <c r="D1" s="386"/>
      <c r="E1" s="1280" t="s">
        <v>138</v>
      </c>
      <c r="F1" s="1288" t="s">
        <v>936</v>
      </c>
      <c r="G1" s="1288"/>
      <c r="H1" s="1288"/>
      <c r="I1" s="1288"/>
      <c r="J1" s="1288"/>
      <c r="K1" s="1288"/>
      <c r="L1" s="1288"/>
      <c r="M1" s="1288" t="s">
        <v>937</v>
      </c>
      <c r="N1" s="1290" t="s">
        <v>433</v>
      </c>
      <c r="O1" s="1286" t="s">
        <v>434</v>
      </c>
      <c r="P1" s="971"/>
      <c r="Q1" s="865"/>
      <c r="R1" s="865"/>
      <c r="S1" s="866"/>
      <c r="T1" s="866"/>
      <c r="U1" s="866"/>
      <c r="V1" s="866"/>
      <c r="W1" s="866"/>
      <c r="X1" s="866"/>
      <c r="Y1" s="866"/>
      <c r="Z1" s="866"/>
      <c r="AA1" s="866"/>
      <c r="AB1" s="866"/>
      <c r="AC1" s="866"/>
      <c r="AD1" s="866"/>
      <c r="AE1" s="866"/>
      <c r="AF1" s="866"/>
      <c r="AG1" s="866"/>
      <c r="AH1" s="866"/>
      <c r="AI1" s="866"/>
      <c r="AJ1" s="866"/>
      <c r="AK1" s="866"/>
      <c r="AL1" s="866"/>
      <c r="AM1" s="866"/>
      <c r="AN1" s="866"/>
      <c r="AO1" s="866"/>
      <c r="AP1" s="866"/>
      <c r="AQ1" s="866"/>
      <c r="AR1" s="866"/>
      <c r="AS1" s="866"/>
      <c r="AT1" s="866"/>
      <c r="AU1" s="866"/>
      <c r="AV1" s="866"/>
      <c r="AW1" s="866"/>
      <c r="AX1" s="866"/>
      <c r="AY1" s="866"/>
      <c r="AZ1" s="866"/>
      <c r="BA1" s="866"/>
      <c r="BB1" s="866"/>
      <c r="BC1" s="866"/>
      <c r="BD1" s="866"/>
      <c r="BE1" s="866"/>
      <c r="BF1" s="866"/>
      <c r="BG1" s="866"/>
      <c r="BH1" s="866"/>
      <c r="BI1" s="866"/>
      <c r="BJ1" s="866"/>
      <c r="BK1" s="866"/>
      <c r="BL1" s="866"/>
      <c r="BM1" s="866"/>
      <c r="BN1" s="866"/>
      <c r="BO1" s="866"/>
      <c r="BP1" s="866"/>
      <c r="BQ1" s="866"/>
      <c r="BR1" s="866"/>
    </row>
    <row r="2" spans="1:70" s="10" customFormat="1" ht="34.049999999999997" customHeight="1">
      <c r="A2" s="1279"/>
      <c r="B2" s="385" t="s">
        <v>137</v>
      </c>
      <c r="C2" s="384"/>
      <c r="D2" s="383"/>
      <c r="E2" s="1280"/>
      <c r="F2" s="1289"/>
      <c r="G2" s="1289"/>
      <c r="H2" s="1289"/>
      <c r="I2" s="1289"/>
      <c r="J2" s="1289"/>
      <c r="K2" s="1289"/>
      <c r="L2" s="1289"/>
      <c r="M2" s="1289"/>
      <c r="N2" s="1291"/>
      <c r="O2" s="1287"/>
      <c r="P2" s="971"/>
      <c r="Q2" s="865"/>
      <c r="R2" s="865"/>
      <c r="S2" s="866"/>
      <c r="T2" s="866"/>
      <c r="U2" s="866"/>
      <c r="V2" s="866"/>
      <c r="W2" s="866"/>
      <c r="X2" s="866"/>
      <c r="Y2" s="866"/>
      <c r="Z2" s="866"/>
      <c r="AA2" s="866"/>
      <c r="AB2" s="866"/>
      <c r="AC2" s="866"/>
      <c r="AD2" s="866"/>
      <c r="AE2" s="866"/>
      <c r="AF2" s="866"/>
      <c r="AG2" s="866"/>
      <c r="AH2" s="866"/>
      <c r="AI2" s="866"/>
      <c r="AJ2" s="866"/>
      <c r="AK2" s="866"/>
      <c r="AL2" s="866"/>
      <c r="AM2" s="866"/>
      <c r="AN2" s="866"/>
      <c r="AO2" s="866"/>
      <c r="AP2" s="866"/>
      <c r="AQ2" s="866"/>
      <c r="AR2" s="866"/>
      <c r="AS2" s="866"/>
      <c r="AT2" s="866"/>
      <c r="AU2" s="866"/>
      <c r="AV2" s="866"/>
      <c r="AW2" s="866"/>
      <c r="AX2" s="866"/>
      <c r="AY2" s="866"/>
      <c r="AZ2" s="866"/>
      <c r="BA2" s="866"/>
      <c r="BB2" s="866"/>
      <c r="BC2" s="866"/>
      <c r="BD2" s="866"/>
      <c r="BE2" s="866"/>
      <c r="BF2" s="866"/>
      <c r="BG2" s="866"/>
      <c r="BH2" s="866"/>
      <c r="BI2" s="866"/>
      <c r="BJ2" s="866"/>
      <c r="BK2" s="866"/>
      <c r="BL2" s="866"/>
      <c r="BM2" s="866"/>
      <c r="BN2" s="866"/>
      <c r="BO2" s="866"/>
      <c r="BP2" s="866"/>
      <c r="BQ2" s="866"/>
      <c r="BR2" s="866"/>
    </row>
    <row r="3" spans="1:70" s="290" customFormat="1" ht="52.5" customHeight="1">
      <c r="A3" s="86">
        <v>1</v>
      </c>
      <c r="B3" s="85" t="s">
        <v>136</v>
      </c>
      <c r="C3" s="84"/>
      <c r="D3" s="83"/>
      <c r="E3" s="82" t="s">
        <v>135</v>
      </c>
      <c r="F3" s="80">
        <f t="shared" ref="F3:K3" si="0">F4</f>
        <v>0</v>
      </c>
      <c r="G3" s="80">
        <f t="shared" si="0"/>
        <v>0</v>
      </c>
      <c r="H3" s="80">
        <f t="shared" si="0"/>
        <v>0</v>
      </c>
      <c r="I3" s="80">
        <f t="shared" si="0"/>
        <v>0</v>
      </c>
      <c r="J3" s="80">
        <f t="shared" si="0"/>
        <v>0</v>
      </c>
      <c r="K3" s="80">
        <f t="shared" si="0"/>
        <v>20851.5</v>
      </c>
      <c r="L3" s="80">
        <f>L4+L7</f>
        <v>20851.5</v>
      </c>
      <c r="M3" s="80">
        <f t="shared" ref="M3:N3" si="1">M4+M7</f>
        <v>202364.07</v>
      </c>
      <c r="N3" s="80">
        <f t="shared" si="1"/>
        <v>190360.12</v>
      </c>
      <c r="O3" s="867">
        <f>N3/M3</f>
        <v>0.9406814164194266</v>
      </c>
      <c r="P3" s="761" t="s">
        <v>286</v>
      </c>
    </row>
    <row r="4" spans="1:70" s="97" customFormat="1" ht="52.5" customHeight="1">
      <c r="A4" s="558"/>
      <c r="B4" s="78" t="s">
        <v>134</v>
      </c>
      <c r="C4" s="77"/>
      <c r="D4" s="76"/>
      <c r="E4" s="75" t="s">
        <v>133</v>
      </c>
      <c r="F4" s="414">
        <f t="shared" ref="F4:K4" si="2">F5</f>
        <v>0</v>
      </c>
      <c r="G4" s="414">
        <f t="shared" si="2"/>
        <v>0</v>
      </c>
      <c r="H4" s="414">
        <f t="shared" si="2"/>
        <v>0</v>
      </c>
      <c r="I4" s="414">
        <f t="shared" si="2"/>
        <v>0</v>
      </c>
      <c r="J4" s="414">
        <f t="shared" si="2"/>
        <v>0</v>
      </c>
      <c r="K4" s="414">
        <f t="shared" si="2"/>
        <v>20851.5</v>
      </c>
      <c r="L4" s="95">
        <f>L5</f>
        <v>20851.5</v>
      </c>
      <c r="M4" s="95">
        <f t="shared" ref="M4:N4" si="3">M5</f>
        <v>20851.5</v>
      </c>
      <c r="N4" s="95">
        <f t="shared" si="3"/>
        <v>8847.56</v>
      </c>
      <c r="O4" s="868">
        <f>N4/M4</f>
        <v>0.42431287916936428</v>
      </c>
      <c r="P4" s="762" t="s">
        <v>286</v>
      </c>
    </row>
    <row r="5" spans="1:70" s="322" customFormat="1" ht="52.5" customHeight="1">
      <c r="A5" s="633"/>
      <c r="B5" s="218"/>
      <c r="C5" s="30">
        <v>1</v>
      </c>
      <c r="D5" s="94"/>
      <c r="E5" s="93" t="s">
        <v>182</v>
      </c>
      <c r="F5" s="219"/>
      <c r="G5" s="92"/>
      <c r="H5" s="92"/>
      <c r="I5" s="92"/>
      <c r="J5" s="92"/>
      <c r="K5" s="92">
        <f>25000-142.89-2000-2000+287.39-92-841+640</f>
        <v>20851.5</v>
      </c>
      <c r="L5" s="92">
        <f t="shared" ref="L5" si="4">SUM(F5:K5)</f>
        <v>20851.5</v>
      </c>
      <c r="M5" s="92">
        <v>20851.5</v>
      </c>
      <c r="N5" s="92">
        <v>8847.56</v>
      </c>
      <c r="O5" s="869">
        <f>N5/M5</f>
        <v>0.42431287916936428</v>
      </c>
      <c r="P5" s="763" t="s">
        <v>286</v>
      </c>
    </row>
    <row r="6" spans="1:70" s="1038" customFormat="1" ht="51.75" customHeight="1">
      <c r="A6" s="1035"/>
      <c r="B6" s="710"/>
      <c r="C6" s="1036"/>
      <c r="D6" s="416"/>
      <c r="E6" s="1281" t="s">
        <v>639</v>
      </c>
      <c r="F6" s="1281"/>
      <c r="G6" s="1281"/>
      <c r="H6" s="1281"/>
      <c r="I6" s="1281"/>
      <c r="J6" s="1281"/>
      <c r="K6" s="1281"/>
      <c r="L6" s="1281"/>
      <c r="M6" s="1281"/>
      <c r="N6" s="1281"/>
      <c r="O6" s="1282"/>
      <c r="P6" s="763"/>
      <c r="Q6" s="1037"/>
      <c r="R6" s="763"/>
    </row>
    <row r="7" spans="1:70" s="415" customFormat="1" ht="52.5" customHeight="1">
      <c r="A7" s="803"/>
      <c r="B7" s="1039" t="s">
        <v>640</v>
      </c>
      <c r="C7" s="77"/>
      <c r="D7" s="76"/>
      <c r="E7" s="75" t="s">
        <v>8</v>
      </c>
      <c r="F7" s="414" t="e">
        <f>#REF!</f>
        <v>#REF!</v>
      </c>
      <c r="G7" s="414" t="e">
        <f>#REF!</f>
        <v>#REF!</v>
      </c>
      <c r="H7" s="414" t="e">
        <f>#REF!</f>
        <v>#REF!</v>
      </c>
      <c r="I7" s="414" t="e">
        <f>#REF!</f>
        <v>#REF!</v>
      </c>
      <c r="J7" s="414" t="e">
        <f>#REF!</f>
        <v>#REF!</v>
      </c>
      <c r="K7" s="414" t="e">
        <f>#REF!</f>
        <v>#REF!</v>
      </c>
      <c r="L7" s="95">
        <f>L8</f>
        <v>0</v>
      </c>
      <c r="M7" s="414">
        <f>M8</f>
        <v>181512.57</v>
      </c>
      <c r="N7" s="414">
        <f>N8</f>
        <v>181512.56</v>
      </c>
      <c r="O7" s="1040">
        <f>N7/M7</f>
        <v>0.99999994490739674</v>
      </c>
      <c r="P7" s="1041" t="s">
        <v>286</v>
      </c>
      <c r="Q7" s="762"/>
    </row>
    <row r="8" spans="1:70" s="322" customFormat="1" ht="183" customHeight="1">
      <c r="A8" s="1035"/>
      <c r="B8" s="710"/>
      <c r="C8" s="571">
        <v>1</v>
      </c>
      <c r="D8" s="663"/>
      <c r="E8" s="664" t="s">
        <v>641</v>
      </c>
      <c r="F8" s="564"/>
      <c r="G8" s="563"/>
      <c r="H8" s="563"/>
      <c r="I8" s="563"/>
      <c r="J8" s="563"/>
      <c r="K8" s="563">
        <f>20000-45.95-551</f>
        <v>19403.05</v>
      </c>
      <c r="L8" s="563">
        <v>0</v>
      </c>
      <c r="M8" s="563">
        <v>181512.57</v>
      </c>
      <c r="N8" s="563">
        <v>181512.56</v>
      </c>
      <c r="O8" s="872">
        <f>N8/M8</f>
        <v>0.99999994490739674</v>
      </c>
      <c r="P8" s="1042" t="s">
        <v>286</v>
      </c>
      <c r="Q8" s="763"/>
      <c r="R8" s="1043"/>
    </row>
    <row r="9" spans="1:70" s="1038" customFormat="1" ht="137.25" customHeight="1">
      <c r="A9" s="1035"/>
      <c r="B9" s="710"/>
      <c r="C9" s="1036"/>
      <c r="D9" s="416"/>
      <c r="E9" s="1283" t="s">
        <v>642</v>
      </c>
      <c r="F9" s="1283"/>
      <c r="G9" s="1283"/>
      <c r="H9" s="1283"/>
      <c r="I9" s="1283"/>
      <c r="J9" s="1283"/>
      <c r="K9" s="1283"/>
      <c r="L9" s="1283"/>
      <c r="M9" s="1283"/>
      <c r="N9" s="1283"/>
      <c r="O9" s="1284"/>
      <c r="P9" s="1042"/>
      <c r="Q9" s="763"/>
      <c r="R9" s="763"/>
      <c r="S9" s="1044"/>
    </row>
    <row r="10" spans="1:70" s="79" customFormat="1" ht="52.5" customHeight="1">
      <c r="A10" s="86">
        <v>2</v>
      </c>
      <c r="B10" s="85">
        <v>600</v>
      </c>
      <c r="C10" s="84"/>
      <c r="D10" s="83"/>
      <c r="E10" s="82" t="s">
        <v>132</v>
      </c>
      <c r="F10" s="81">
        <f t="shared" ref="F10:K10" si="5">F11+F14+F81</f>
        <v>0</v>
      </c>
      <c r="G10" s="81">
        <f t="shared" si="5"/>
        <v>0</v>
      </c>
      <c r="H10" s="81">
        <f t="shared" si="5"/>
        <v>1433178</v>
      </c>
      <c r="I10" s="81">
        <f t="shared" si="5"/>
        <v>0</v>
      </c>
      <c r="J10" s="81">
        <f t="shared" si="5"/>
        <v>76000</v>
      </c>
      <c r="K10" s="81">
        <f t="shared" si="5"/>
        <v>4824690.76</v>
      </c>
      <c r="L10" s="80">
        <f>F10+G10+H10+I10+J10+K10</f>
        <v>6333868.7599999998</v>
      </c>
      <c r="M10" s="80">
        <f>M11+M14+M81</f>
        <v>8325679.7599999998</v>
      </c>
      <c r="N10" s="80">
        <f>N11+N14+N81</f>
        <v>539268.2300000001</v>
      </c>
      <c r="O10" s="867">
        <f>N10/M10</f>
        <v>6.4771675772453699E-2</v>
      </c>
      <c r="P10" s="760" t="s">
        <v>286</v>
      </c>
    </row>
    <row r="11" spans="1:70" s="79" customFormat="1" ht="52.5" customHeight="1">
      <c r="A11" s="573"/>
      <c r="B11" s="177">
        <v>60014</v>
      </c>
      <c r="C11" s="176"/>
      <c r="D11" s="175"/>
      <c r="E11" s="174" t="s">
        <v>356</v>
      </c>
      <c r="F11" s="294">
        <f>F12</f>
        <v>0</v>
      </c>
      <c r="G11" s="294">
        <f t="shared" ref="G11:K11" si="6">G12</f>
        <v>0</v>
      </c>
      <c r="H11" s="294">
        <f t="shared" si="6"/>
        <v>0</v>
      </c>
      <c r="I11" s="294">
        <f t="shared" si="6"/>
        <v>0</v>
      </c>
      <c r="J11" s="294">
        <f t="shared" si="6"/>
        <v>76000</v>
      </c>
      <c r="K11" s="294">
        <f t="shared" si="6"/>
        <v>0</v>
      </c>
      <c r="L11" s="294">
        <f t="shared" ref="L11:L14" si="7">SUM(F11:K11)</f>
        <v>76000</v>
      </c>
      <c r="M11" s="294">
        <f>M12</f>
        <v>76000</v>
      </c>
      <c r="N11" s="294">
        <f>N12</f>
        <v>75813.94</v>
      </c>
      <c r="O11" s="870">
        <f>N11/M11</f>
        <v>0.99755184210526315</v>
      </c>
      <c r="P11" s="760" t="s">
        <v>286</v>
      </c>
    </row>
    <row r="12" spans="1:70" s="382" customFormat="1" ht="124.2" customHeight="1">
      <c r="A12" s="401"/>
      <c r="B12" s="402"/>
      <c r="C12" s="749">
        <v>1</v>
      </c>
      <c r="D12" s="806"/>
      <c r="E12" s="486" t="s">
        <v>357</v>
      </c>
      <c r="F12" s="128"/>
      <c r="G12" s="367"/>
      <c r="H12" s="367"/>
      <c r="I12" s="367"/>
      <c r="J12" s="367">
        <v>76000</v>
      </c>
      <c r="K12" s="367"/>
      <c r="L12" s="456">
        <f t="shared" si="7"/>
        <v>76000</v>
      </c>
      <c r="M12" s="456">
        <v>76000</v>
      </c>
      <c r="N12" s="456">
        <v>75813.94</v>
      </c>
      <c r="O12" s="871">
        <f>N12/M12</f>
        <v>0.99755184210526315</v>
      </c>
      <c r="P12" s="760" t="s">
        <v>286</v>
      </c>
    </row>
    <row r="13" spans="1:70" s="1038" customFormat="1" ht="58.5" customHeight="1">
      <c r="A13" s="1035"/>
      <c r="B13" s="710"/>
      <c r="C13" s="1036"/>
      <c r="D13" s="416"/>
      <c r="E13" s="1283" t="s">
        <v>861</v>
      </c>
      <c r="F13" s="1283"/>
      <c r="G13" s="1283"/>
      <c r="H13" s="1283"/>
      <c r="I13" s="1283"/>
      <c r="J13" s="1283"/>
      <c r="K13" s="1283"/>
      <c r="L13" s="1283"/>
      <c r="M13" s="1283"/>
      <c r="N13" s="1283"/>
      <c r="O13" s="1284"/>
      <c r="P13" s="1042"/>
      <c r="Q13" s="763"/>
      <c r="R13" s="763"/>
      <c r="S13" s="1044"/>
    </row>
    <row r="14" spans="1:70" s="79" customFormat="1" ht="52.5" customHeight="1">
      <c r="A14" s="573"/>
      <c r="B14" s="78">
        <v>60016</v>
      </c>
      <c r="C14" s="77"/>
      <c r="D14" s="76"/>
      <c r="E14" s="75" t="s">
        <v>131</v>
      </c>
      <c r="F14" s="95">
        <f t="shared" ref="F14:K14" si="8">F15+F17+F19+F21+F23+F25+F26+F28+F30+F33+F35+F37+F39+F41+F43+F45+F47+F49+F55+F57+F59+F61+F63+F65+F67</f>
        <v>0</v>
      </c>
      <c r="G14" s="95">
        <f t="shared" si="8"/>
        <v>0</v>
      </c>
      <c r="H14" s="95">
        <f t="shared" si="8"/>
        <v>1433178</v>
      </c>
      <c r="I14" s="95">
        <f t="shared" si="8"/>
        <v>0</v>
      </c>
      <c r="J14" s="95">
        <f t="shared" si="8"/>
        <v>0</v>
      </c>
      <c r="K14" s="95">
        <f t="shared" si="8"/>
        <v>4687084.13</v>
      </c>
      <c r="L14" s="95">
        <f t="shared" si="7"/>
        <v>6120262.1299999999</v>
      </c>
      <c r="M14" s="95">
        <f>M15+M17+M19+M21+M23+M25+M26+M28+M30+M33+M35+M37+M39+M41+M43+M45+M47+M49+M55+M57+M59+M61+M63+M65+M67+M69+M71+M73+M75+M77+M79</f>
        <v>8121084.1299999999</v>
      </c>
      <c r="N14" s="95">
        <f>N15+N17+N19+N21+N23+N25+N26+N28+N30+N33+N35+N37+N39+N41+N43+N45+N47+N49+N55+N57+N59+N61+N63+N65+N67+N69+N71+N73+N75+N77+N79</f>
        <v>445497.64000000007</v>
      </c>
      <c r="O14" s="868">
        <f>N14/M14</f>
        <v>5.485691723772354E-2</v>
      </c>
      <c r="P14" s="760" t="s">
        <v>286</v>
      </c>
    </row>
    <row r="15" spans="1:70" s="382" customFormat="1" ht="141" customHeight="1">
      <c r="A15" s="401"/>
      <c r="B15" s="402"/>
      <c r="C15" s="390">
        <v>1</v>
      </c>
      <c r="D15" s="403"/>
      <c r="E15" s="486" t="s">
        <v>285</v>
      </c>
      <c r="F15" s="128"/>
      <c r="G15" s="367"/>
      <c r="H15" s="367"/>
      <c r="I15" s="367"/>
      <c r="J15" s="367"/>
      <c r="K15" s="367">
        <v>250000</v>
      </c>
      <c r="L15" s="456">
        <f t="shared" ref="L15:L23" si="9">SUM(F15:K15)</f>
        <v>250000</v>
      </c>
      <c r="M15" s="456">
        <v>225780</v>
      </c>
      <c r="N15" s="456">
        <v>9170.9500000000007</v>
      </c>
      <c r="O15" s="871">
        <f>N15/M15</f>
        <v>4.0618965364514134E-2</v>
      </c>
      <c r="P15" s="760" t="s">
        <v>286</v>
      </c>
    </row>
    <row r="16" spans="1:70" s="1038" customFormat="1" ht="104.25" customHeight="1">
      <c r="A16" s="1035"/>
      <c r="B16" s="710"/>
      <c r="C16" s="1036"/>
      <c r="D16" s="416"/>
      <c r="E16" s="1262" t="s">
        <v>862</v>
      </c>
      <c r="F16" s="1262"/>
      <c r="G16" s="1262"/>
      <c r="H16" s="1262"/>
      <c r="I16" s="1262"/>
      <c r="J16" s="1262"/>
      <c r="K16" s="1262"/>
      <c r="L16" s="1262"/>
      <c r="M16" s="1262"/>
      <c r="N16" s="1262"/>
      <c r="O16" s="1285"/>
      <c r="P16" s="1042"/>
      <c r="Q16" s="763"/>
      <c r="R16" s="763"/>
      <c r="S16" s="1044"/>
    </row>
    <row r="17" spans="1:19" s="382" customFormat="1" ht="69.75" customHeight="1">
      <c r="A17" s="401"/>
      <c r="B17" s="91"/>
      <c r="C17" s="390">
        <v>2</v>
      </c>
      <c r="D17" s="403"/>
      <c r="E17" s="486" t="s">
        <v>336</v>
      </c>
      <c r="F17" s="588"/>
      <c r="G17" s="596"/>
      <c r="H17" s="596"/>
      <c r="I17" s="596"/>
      <c r="J17" s="596"/>
      <c r="K17" s="596">
        <f>600000-20000</f>
        <v>580000</v>
      </c>
      <c r="L17" s="563">
        <f t="shared" si="9"/>
        <v>580000</v>
      </c>
      <c r="M17" s="563">
        <v>580000</v>
      </c>
      <c r="N17" s="563">
        <v>145191.91</v>
      </c>
      <c r="O17" s="872">
        <f>N17/M17</f>
        <v>0.25033087931034481</v>
      </c>
      <c r="P17" s="760" t="s">
        <v>286</v>
      </c>
    </row>
    <row r="18" spans="1:19" s="1038" customFormat="1" ht="118.5" customHeight="1">
      <c r="A18" s="1035"/>
      <c r="B18" s="710"/>
      <c r="C18" s="1036"/>
      <c r="D18" s="416"/>
      <c r="E18" s="1264" t="s">
        <v>863</v>
      </c>
      <c r="F18" s="1264"/>
      <c r="G18" s="1264"/>
      <c r="H18" s="1264"/>
      <c r="I18" s="1264"/>
      <c r="J18" s="1264"/>
      <c r="K18" s="1264"/>
      <c r="L18" s="1264"/>
      <c r="M18" s="1264"/>
      <c r="N18" s="1264"/>
      <c r="O18" s="1265"/>
      <c r="P18" s="1042"/>
      <c r="Q18" s="763"/>
      <c r="R18" s="763"/>
      <c r="S18" s="1044"/>
    </row>
    <row r="19" spans="1:19" s="382" customFormat="1" ht="79.5" customHeight="1">
      <c r="A19" s="401"/>
      <c r="B19" s="91"/>
      <c r="C19" s="390">
        <v>3</v>
      </c>
      <c r="D19" s="403"/>
      <c r="E19" s="486" t="s">
        <v>337</v>
      </c>
      <c r="F19" s="128"/>
      <c r="G19" s="367"/>
      <c r="H19" s="367"/>
      <c r="I19" s="367"/>
      <c r="J19" s="367"/>
      <c r="K19" s="367">
        <v>200000</v>
      </c>
      <c r="L19" s="456">
        <f t="shared" ref="L19" si="10">SUM(F19:K19)</f>
        <v>200000</v>
      </c>
      <c r="M19" s="456">
        <v>200000</v>
      </c>
      <c r="N19" s="456">
        <v>2376</v>
      </c>
      <c r="O19" s="871">
        <f>N19/M19</f>
        <v>1.188E-2</v>
      </c>
      <c r="P19" s="760" t="s">
        <v>286</v>
      </c>
    </row>
    <row r="20" spans="1:19" s="1038" customFormat="1" ht="93.75" customHeight="1">
      <c r="A20" s="1035"/>
      <c r="B20" s="710"/>
      <c r="C20" s="1036"/>
      <c r="D20" s="416"/>
      <c r="E20" s="1292" t="s">
        <v>864</v>
      </c>
      <c r="F20" s="1264"/>
      <c r="G20" s="1264"/>
      <c r="H20" s="1264"/>
      <c r="I20" s="1264"/>
      <c r="J20" s="1264"/>
      <c r="K20" s="1264"/>
      <c r="L20" s="1264"/>
      <c r="M20" s="1264"/>
      <c r="N20" s="1264"/>
      <c r="O20" s="1265"/>
      <c r="P20" s="1042"/>
      <c r="Q20" s="763"/>
      <c r="R20" s="763"/>
      <c r="S20" s="1044"/>
    </row>
    <row r="21" spans="1:19" s="382" customFormat="1" ht="48.75" customHeight="1">
      <c r="A21" s="715"/>
      <c r="B21" s="662"/>
      <c r="C21" s="594">
        <v>4</v>
      </c>
      <c r="D21" s="612"/>
      <c r="E21" s="486" t="s">
        <v>338</v>
      </c>
      <c r="F21" s="588"/>
      <c r="G21" s="596"/>
      <c r="H21" s="596"/>
      <c r="I21" s="596"/>
      <c r="J21" s="596"/>
      <c r="K21" s="596">
        <v>90000</v>
      </c>
      <c r="L21" s="563">
        <f>SUM(F21:K21)</f>
        <v>90000</v>
      </c>
      <c r="M21" s="563">
        <v>35000</v>
      </c>
      <c r="N21" s="563">
        <v>35000</v>
      </c>
      <c r="O21" s="872">
        <f>N21/M21</f>
        <v>1</v>
      </c>
      <c r="P21" s="760" t="s">
        <v>286</v>
      </c>
    </row>
    <row r="22" spans="1:19" s="1038" customFormat="1" ht="93.75" customHeight="1">
      <c r="A22" s="1035"/>
      <c r="B22" s="710"/>
      <c r="C22" s="1036"/>
      <c r="D22" s="416"/>
      <c r="E22" s="1292" t="s">
        <v>865</v>
      </c>
      <c r="F22" s="1264"/>
      <c r="G22" s="1264"/>
      <c r="H22" s="1264"/>
      <c r="I22" s="1264"/>
      <c r="J22" s="1264"/>
      <c r="K22" s="1264"/>
      <c r="L22" s="1264"/>
      <c r="M22" s="1264"/>
      <c r="N22" s="1264"/>
      <c r="O22" s="1265"/>
      <c r="P22" s="1042"/>
      <c r="Q22" s="763"/>
      <c r="R22" s="763"/>
      <c r="S22" s="1044"/>
    </row>
    <row r="23" spans="1:19" s="382" customFormat="1" ht="60.6" customHeight="1">
      <c r="A23" s="401"/>
      <c r="B23" s="402"/>
      <c r="C23" s="390">
        <v>5</v>
      </c>
      <c r="D23" s="612"/>
      <c r="E23" s="486" t="s">
        <v>245</v>
      </c>
      <c r="F23" s="588"/>
      <c r="G23" s="596"/>
      <c r="H23" s="596"/>
      <c r="I23" s="596"/>
      <c r="J23" s="596"/>
      <c r="K23" s="596">
        <v>3283</v>
      </c>
      <c r="L23" s="563">
        <f t="shared" si="9"/>
        <v>3283</v>
      </c>
      <c r="M23" s="563">
        <v>3283</v>
      </c>
      <c r="N23" s="563">
        <v>3281.73</v>
      </c>
      <c r="O23" s="872">
        <f>N23/M23</f>
        <v>0.9996131586963144</v>
      </c>
      <c r="P23" s="760" t="s">
        <v>286</v>
      </c>
    </row>
    <row r="24" spans="1:19" s="1038" customFormat="1" ht="74.25" customHeight="1">
      <c r="A24" s="1035"/>
      <c r="B24" s="710"/>
      <c r="C24" s="1036"/>
      <c r="D24" s="416"/>
      <c r="E24" s="1292" t="s">
        <v>866</v>
      </c>
      <c r="F24" s="1264"/>
      <c r="G24" s="1264"/>
      <c r="H24" s="1264"/>
      <c r="I24" s="1264"/>
      <c r="J24" s="1264"/>
      <c r="K24" s="1264"/>
      <c r="L24" s="1264"/>
      <c r="M24" s="1264"/>
      <c r="N24" s="1264"/>
      <c r="O24" s="1265"/>
      <c r="P24" s="1042"/>
      <c r="Q24" s="763"/>
      <c r="R24" s="763"/>
      <c r="S24" s="1044"/>
    </row>
    <row r="25" spans="1:19" s="382" customFormat="1" ht="57" customHeight="1">
      <c r="A25" s="401"/>
      <c r="B25" s="402"/>
      <c r="C25" s="390">
        <v>6</v>
      </c>
      <c r="D25" s="612"/>
      <c r="E25" s="626" t="s">
        <v>251</v>
      </c>
      <c r="F25" s="588"/>
      <c r="G25" s="588"/>
      <c r="H25" s="588"/>
      <c r="I25" s="588"/>
      <c r="J25" s="588"/>
      <c r="K25" s="588">
        <f>101952+2543+1500</f>
        <v>105995</v>
      </c>
      <c r="L25" s="563">
        <f>SUM(F25:K25)</f>
        <v>105995</v>
      </c>
      <c r="M25" s="563">
        <f>1500+77607+5442+14297+2048+2000+3101</f>
        <v>105995</v>
      </c>
      <c r="N25" s="563">
        <f>918.86+34792+1379.61+6217.89+886.22+579+2326</f>
        <v>47099.58</v>
      </c>
      <c r="O25" s="872">
        <f>N25/M25</f>
        <v>0.44435662059531111</v>
      </c>
      <c r="P25" s="760" t="s">
        <v>286</v>
      </c>
    </row>
    <row r="26" spans="1:19" s="382" customFormat="1" ht="69.75" customHeight="1">
      <c r="A26" s="401"/>
      <c r="B26" s="402"/>
      <c r="C26" s="390">
        <v>7</v>
      </c>
      <c r="D26" s="612"/>
      <c r="E26" s="486" t="s">
        <v>301</v>
      </c>
      <c r="F26" s="588"/>
      <c r="G26" s="596"/>
      <c r="H26" s="596"/>
      <c r="I26" s="596"/>
      <c r="J26" s="596"/>
      <c r="K26" s="596">
        <f>30000-2000</f>
        <v>28000</v>
      </c>
      <c r="L26" s="563">
        <f t="shared" ref="L26" si="11">SUM(F26:K26)</f>
        <v>28000</v>
      </c>
      <c r="M26" s="563">
        <v>23000</v>
      </c>
      <c r="N26" s="563">
        <v>0</v>
      </c>
      <c r="O26" s="872">
        <v>0</v>
      </c>
      <c r="P26" s="760" t="s">
        <v>286</v>
      </c>
    </row>
    <row r="27" spans="1:19" s="1038" customFormat="1" ht="43.5" customHeight="1">
      <c r="A27" s="1035"/>
      <c r="B27" s="710"/>
      <c r="C27" s="1036"/>
      <c r="D27" s="416"/>
      <c r="E27" s="1292" t="s">
        <v>826</v>
      </c>
      <c r="F27" s="1264"/>
      <c r="G27" s="1264"/>
      <c r="H27" s="1264"/>
      <c r="I27" s="1264"/>
      <c r="J27" s="1264"/>
      <c r="K27" s="1264"/>
      <c r="L27" s="1264"/>
      <c r="M27" s="1264"/>
      <c r="N27" s="1264"/>
      <c r="O27" s="1265"/>
      <c r="P27" s="1042"/>
      <c r="Q27" s="763"/>
      <c r="R27" s="763"/>
      <c r="S27" s="1044"/>
    </row>
    <row r="28" spans="1:19" s="382" customFormat="1" ht="48" customHeight="1">
      <c r="A28" s="401"/>
      <c r="B28" s="402"/>
      <c r="C28" s="390">
        <v>8</v>
      </c>
      <c r="D28" s="612"/>
      <c r="E28" s="486" t="s">
        <v>302</v>
      </c>
      <c r="F28" s="588"/>
      <c r="G28" s="596"/>
      <c r="H28" s="596"/>
      <c r="I28" s="596"/>
      <c r="J28" s="596"/>
      <c r="K28" s="596">
        <f>30000-15000</f>
        <v>15000</v>
      </c>
      <c r="L28" s="563">
        <f t="shared" ref="L28" si="12">SUM(F28:K28)</f>
        <v>15000</v>
      </c>
      <c r="M28" s="563">
        <v>35000</v>
      </c>
      <c r="N28" s="563">
        <v>0</v>
      </c>
      <c r="O28" s="872">
        <v>0</v>
      </c>
      <c r="P28" s="760" t="s">
        <v>286</v>
      </c>
    </row>
    <row r="29" spans="1:19" s="1038" customFormat="1" ht="43.5" customHeight="1">
      <c r="A29" s="1035"/>
      <c r="B29" s="710"/>
      <c r="C29" s="1036"/>
      <c r="D29" s="416"/>
      <c r="E29" s="1292" t="s">
        <v>826</v>
      </c>
      <c r="F29" s="1264"/>
      <c r="G29" s="1264"/>
      <c r="H29" s="1264"/>
      <c r="I29" s="1264"/>
      <c r="J29" s="1264"/>
      <c r="K29" s="1264"/>
      <c r="L29" s="1264"/>
      <c r="M29" s="1264"/>
      <c r="N29" s="1264"/>
      <c r="O29" s="1265"/>
      <c r="P29" s="1042"/>
      <c r="Q29" s="763"/>
      <c r="R29" s="763"/>
      <c r="S29" s="1044"/>
    </row>
    <row r="30" spans="1:19" s="233" customFormat="1" ht="70.2" customHeight="1">
      <c r="A30" s="715"/>
      <c r="B30" s="662"/>
      <c r="C30" s="390">
        <v>9</v>
      </c>
      <c r="D30" s="727"/>
      <c r="E30" s="649" t="s">
        <v>271</v>
      </c>
      <c r="F30" s="588"/>
      <c r="G30" s="596"/>
      <c r="H30" s="596"/>
      <c r="I30" s="596"/>
      <c r="J30" s="596"/>
      <c r="K30" s="596">
        <f>20000-5000</f>
        <v>15000</v>
      </c>
      <c r="L30" s="563">
        <f>SUM(F30:K30)</f>
        <v>15000</v>
      </c>
      <c r="M30" s="563">
        <v>18995</v>
      </c>
      <c r="N30" s="563">
        <f>4500+900.3</f>
        <v>5400.3</v>
      </c>
      <c r="O30" s="872">
        <f>N30/M30</f>
        <v>0.28430113187680972</v>
      </c>
      <c r="P30" s="762" t="s">
        <v>286</v>
      </c>
    </row>
    <row r="31" spans="1:19" s="382" customFormat="1" ht="69" customHeight="1">
      <c r="A31" s="715"/>
      <c r="B31" s="662"/>
      <c r="C31" s="692"/>
      <c r="D31" s="748"/>
      <c r="E31" s="1319" t="s">
        <v>272</v>
      </c>
      <c r="F31" s="1319"/>
      <c r="G31" s="1319"/>
      <c r="H31" s="1319"/>
      <c r="I31" s="1319"/>
      <c r="J31" s="1319"/>
      <c r="K31" s="1319"/>
      <c r="L31" s="1319"/>
      <c r="M31" s="1319"/>
      <c r="N31" s="1319"/>
      <c r="O31" s="1320"/>
      <c r="P31" s="760"/>
    </row>
    <row r="32" spans="1:19" s="1033" customFormat="1" ht="54.75" customHeight="1">
      <c r="A32" s="1035"/>
      <c r="B32" s="710"/>
      <c r="C32" s="1036"/>
      <c r="D32" s="416"/>
      <c r="E32" s="1292" t="s">
        <v>827</v>
      </c>
      <c r="F32" s="1264"/>
      <c r="G32" s="1264"/>
      <c r="H32" s="1264"/>
      <c r="I32" s="1264"/>
      <c r="J32" s="1264"/>
      <c r="K32" s="1264"/>
      <c r="L32" s="1264"/>
      <c r="M32" s="1264"/>
      <c r="N32" s="1264"/>
      <c r="O32" s="1265"/>
      <c r="P32" s="1214"/>
      <c r="Q32" s="764"/>
      <c r="R32" s="764"/>
      <c r="S32" s="1215"/>
    </row>
    <row r="33" spans="1:19" s="382" customFormat="1" ht="69.75" customHeight="1">
      <c r="A33" s="401"/>
      <c r="B33" s="402"/>
      <c r="C33" s="390">
        <v>10</v>
      </c>
      <c r="D33" s="612"/>
      <c r="E33" s="491" t="s">
        <v>303</v>
      </c>
      <c r="F33" s="588"/>
      <c r="G33" s="596"/>
      <c r="H33" s="596"/>
      <c r="I33" s="596"/>
      <c r="J33" s="596"/>
      <c r="K33" s="596">
        <v>1724.51</v>
      </c>
      <c r="L33" s="563">
        <f t="shared" ref="L33" si="13">SUM(F33:K33)</f>
        <v>1724.51</v>
      </c>
      <c r="M33" s="563">
        <v>1724.51</v>
      </c>
      <c r="N33" s="563">
        <v>0</v>
      </c>
      <c r="O33" s="872">
        <v>0</v>
      </c>
      <c r="P33" s="760" t="s">
        <v>286</v>
      </c>
    </row>
    <row r="34" spans="1:19" s="1038" customFormat="1" ht="43.5" customHeight="1">
      <c r="A34" s="1035"/>
      <c r="B34" s="710"/>
      <c r="C34" s="1036"/>
      <c r="D34" s="416"/>
      <c r="E34" s="1292" t="s">
        <v>826</v>
      </c>
      <c r="F34" s="1264"/>
      <c r="G34" s="1264"/>
      <c r="H34" s="1264"/>
      <c r="I34" s="1264"/>
      <c r="J34" s="1264"/>
      <c r="K34" s="1264"/>
      <c r="L34" s="1264"/>
      <c r="M34" s="1264"/>
      <c r="N34" s="1264"/>
      <c r="O34" s="1265"/>
      <c r="P34" s="1042"/>
      <c r="Q34" s="763"/>
      <c r="R34" s="763"/>
      <c r="S34" s="1044"/>
    </row>
    <row r="35" spans="1:19" s="382" customFormat="1" ht="69.75" customHeight="1">
      <c r="A35" s="401"/>
      <c r="B35" s="402"/>
      <c r="C35" s="1240">
        <v>11</v>
      </c>
      <c r="D35" s="1241"/>
      <c r="E35" s="491" t="s">
        <v>392</v>
      </c>
      <c r="F35" s="588"/>
      <c r="G35" s="596"/>
      <c r="H35" s="596"/>
      <c r="I35" s="596"/>
      <c r="J35" s="596"/>
      <c r="K35" s="596">
        <v>17100.64</v>
      </c>
      <c r="L35" s="563">
        <f t="shared" ref="L35" si="14">SUM(F35:K35)</f>
        <v>17100.64</v>
      </c>
      <c r="M35" s="563">
        <v>17100.64</v>
      </c>
      <c r="N35" s="563">
        <v>0</v>
      </c>
      <c r="O35" s="872">
        <v>0</v>
      </c>
      <c r="P35" s="760" t="s">
        <v>286</v>
      </c>
    </row>
    <row r="36" spans="1:19" s="1038" customFormat="1" ht="43.5" customHeight="1">
      <c r="A36" s="1035"/>
      <c r="B36" s="710"/>
      <c r="C36" s="1036"/>
      <c r="D36" s="416"/>
      <c r="E36" s="1292" t="s">
        <v>826</v>
      </c>
      <c r="F36" s="1264"/>
      <c r="G36" s="1264"/>
      <c r="H36" s="1264"/>
      <c r="I36" s="1264"/>
      <c r="J36" s="1264"/>
      <c r="K36" s="1264"/>
      <c r="L36" s="1264"/>
      <c r="M36" s="1264"/>
      <c r="N36" s="1264"/>
      <c r="O36" s="1265"/>
      <c r="P36" s="1042"/>
      <c r="Q36" s="763"/>
      <c r="R36" s="763"/>
      <c r="S36" s="1044"/>
    </row>
    <row r="37" spans="1:19" s="382" customFormat="1" ht="69.75" customHeight="1">
      <c r="A37" s="401"/>
      <c r="B37" s="402"/>
      <c r="C37" s="1240">
        <v>12</v>
      </c>
      <c r="D37" s="1241"/>
      <c r="E37" s="491" t="s">
        <v>393</v>
      </c>
      <c r="F37" s="588"/>
      <c r="G37" s="596"/>
      <c r="H37" s="596"/>
      <c r="I37" s="596"/>
      <c r="J37" s="596"/>
      <c r="K37" s="596">
        <v>19320.599999999999</v>
      </c>
      <c r="L37" s="563">
        <f t="shared" ref="L37" si="15">SUM(F37:K37)</f>
        <v>19320.599999999999</v>
      </c>
      <c r="M37" s="563">
        <v>19320.599999999999</v>
      </c>
      <c r="N37" s="563">
        <v>0</v>
      </c>
      <c r="O37" s="872">
        <v>0</v>
      </c>
      <c r="P37" s="760" t="s">
        <v>286</v>
      </c>
    </row>
    <row r="38" spans="1:19" s="1038" customFormat="1" ht="43.5" customHeight="1">
      <c r="A38" s="1035"/>
      <c r="B38" s="710"/>
      <c r="C38" s="1036"/>
      <c r="D38" s="416"/>
      <c r="E38" s="1292" t="s">
        <v>826</v>
      </c>
      <c r="F38" s="1264"/>
      <c r="G38" s="1264"/>
      <c r="H38" s="1264"/>
      <c r="I38" s="1264"/>
      <c r="J38" s="1264"/>
      <c r="K38" s="1264"/>
      <c r="L38" s="1264"/>
      <c r="M38" s="1264"/>
      <c r="N38" s="1264"/>
      <c r="O38" s="1265"/>
      <c r="P38" s="1042"/>
      <c r="Q38" s="763"/>
      <c r="R38" s="763"/>
      <c r="S38" s="1044"/>
    </row>
    <row r="39" spans="1:19" s="382" customFormat="1" ht="69.75" customHeight="1">
      <c r="A39" s="401"/>
      <c r="B39" s="402"/>
      <c r="C39" s="390">
        <v>13</v>
      </c>
      <c r="D39" s="612"/>
      <c r="E39" s="491" t="s">
        <v>304</v>
      </c>
      <c r="F39" s="588"/>
      <c r="G39" s="596"/>
      <c r="H39" s="596"/>
      <c r="I39" s="596"/>
      <c r="J39" s="596"/>
      <c r="K39" s="596">
        <v>5443.2</v>
      </c>
      <c r="L39" s="563">
        <f t="shared" ref="L39" si="16">SUM(F39:K39)</f>
        <v>5443.2</v>
      </c>
      <c r="M39" s="563">
        <v>5443.2</v>
      </c>
      <c r="N39" s="563">
        <v>0</v>
      </c>
      <c r="O39" s="872">
        <v>0</v>
      </c>
      <c r="P39" s="760" t="s">
        <v>286</v>
      </c>
    </row>
    <row r="40" spans="1:19" s="1038" customFormat="1" ht="43.5" customHeight="1">
      <c r="A40" s="1035" t="s">
        <v>244</v>
      </c>
      <c r="B40" s="710"/>
      <c r="C40" s="1036"/>
      <c r="D40" s="416"/>
      <c r="E40" s="1292" t="s">
        <v>826</v>
      </c>
      <c r="F40" s="1264"/>
      <c r="G40" s="1264"/>
      <c r="H40" s="1264"/>
      <c r="I40" s="1264"/>
      <c r="J40" s="1264"/>
      <c r="K40" s="1264"/>
      <c r="L40" s="1264"/>
      <c r="M40" s="1264"/>
      <c r="N40" s="1264"/>
      <c r="O40" s="1265"/>
      <c r="P40" s="1042"/>
      <c r="Q40" s="763"/>
      <c r="R40" s="763"/>
      <c r="S40" s="1044"/>
    </row>
    <row r="41" spans="1:19" s="382" customFormat="1" ht="76.5" customHeight="1">
      <c r="A41" s="401"/>
      <c r="B41" s="402"/>
      <c r="C41" s="390">
        <v>14</v>
      </c>
      <c r="D41" s="612"/>
      <c r="E41" s="491" t="s">
        <v>305</v>
      </c>
      <c r="F41" s="588"/>
      <c r="G41" s="596"/>
      <c r="H41" s="596"/>
      <c r="I41" s="596"/>
      <c r="J41" s="596"/>
      <c r="K41" s="596">
        <v>9053.2800000000007</v>
      </c>
      <c r="L41" s="563">
        <f t="shared" ref="L41" si="17">SUM(F41:K41)</f>
        <v>9053.2800000000007</v>
      </c>
      <c r="M41" s="563">
        <v>9053.2800000000007</v>
      </c>
      <c r="N41" s="563">
        <v>0</v>
      </c>
      <c r="O41" s="872">
        <v>0</v>
      </c>
      <c r="P41" s="760" t="s">
        <v>286</v>
      </c>
    </row>
    <row r="42" spans="1:19" s="1038" customFormat="1" ht="43.5" customHeight="1">
      <c r="A42" s="1035" t="s">
        <v>244</v>
      </c>
      <c r="B42" s="710"/>
      <c r="C42" s="1036"/>
      <c r="D42" s="416"/>
      <c r="E42" s="1292" t="s">
        <v>826</v>
      </c>
      <c r="F42" s="1264"/>
      <c r="G42" s="1264"/>
      <c r="H42" s="1264"/>
      <c r="I42" s="1264"/>
      <c r="J42" s="1264"/>
      <c r="K42" s="1264"/>
      <c r="L42" s="1264"/>
      <c r="M42" s="1264"/>
      <c r="N42" s="1264"/>
      <c r="O42" s="1265"/>
      <c r="P42" s="1042"/>
      <c r="Q42" s="763"/>
      <c r="R42" s="763"/>
      <c r="S42" s="1044"/>
    </row>
    <row r="43" spans="1:19" s="382" customFormat="1" ht="76.5" customHeight="1">
      <c r="A43" s="401"/>
      <c r="B43" s="402"/>
      <c r="C43" s="390">
        <v>15</v>
      </c>
      <c r="D43" s="612"/>
      <c r="E43" s="491" t="s">
        <v>306</v>
      </c>
      <c r="F43" s="588"/>
      <c r="G43" s="596"/>
      <c r="H43" s="596"/>
      <c r="I43" s="596"/>
      <c r="J43" s="596"/>
      <c r="K43" s="596">
        <v>6430.58</v>
      </c>
      <c r="L43" s="563">
        <f t="shared" ref="L43" si="18">SUM(F43:K43)</f>
        <v>6430.58</v>
      </c>
      <c r="M43" s="563">
        <v>6430.58</v>
      </c>
      <c r="N43" s="563">
        <v>0</v>
      </c>
      <c r="O43" s="872">
        <v>0</v>
      </c>
      <c r="P43" s="760" t="s">
        <v>286</v>
      </c>
    </row>
    <row r="44" spans="1:19" s="1038" customFormat="1" ht="43.5" customHeight="1">
      <c r="A44" s="1035" t="s">
        <v>244</v>
      </c>
      <c r="B44" s="710"/>
      <c r="C44" s="1036"/>
      <c r="D44" s="416"/>
      <c r="E44" s="1292" t="s">
        <v>826</v>
      </c>
      <c r="F44" s="1264"/>
      <c r="G44" s="1264"/>
      <c r="H44" s="1264"/>
      <c r="I44" s="1264"/>
      <c r="J44" s="1264"/>
      <c r="K44" s="1264"/>
      <c r="L44" s="1264"/>
      <c r="M44" s="1264"/>
      <c r="N44" s="1264"/>
      <c r="O44" s="1265"/>
      <c r="P44" s="1042"/>
      <c r="Q44" s="763"/>
      <c r="R44" s="763"/>
      <c r="S44" s="1044"/>
    </row>
    <row r="45" spans="1:19" s="382" customFormat="1" ht="76.5" customHeight="1">
      <c r="A45" s="401"/>
      <c r="B45" s="402"/>
      <c r="C45" s="390">
        <v>16</v>
      </c>
      <c r="D45" s="612"/>
      <c r="E45" s="491" t="s">
        <v>307</v>
      </c>
      <c r="F45" s="588"/>
      <c r="G45" s="596"/>
      <c r="H45" s="596"/>
      <c r="I45" s="596"/>
      <c r="J45" s="596"/>
      <c r="K45" s="596">
        <v>14000</v>
      </c>
      <c r="L45" s="563">
        <f t="shared" ref="L45" si="19">SUM(F45:K45)</f>
        <v>14000</v>
      </c>
      <c r="M45" s="563">
        <v>14000</v>
      </c>
      <c r="N45" s="563">
        <v>0</v>
      </c>
      <c r="O45" s="872">
        <v>0</v>
      </c>
      <c r="P45" s="760" t="s">
        <v>286</v>
      </c>
    </row>
    <row r="46" spans="1:19" s="1038" customFormat="1" ht="43.5" customHeight="1">
      <c r="A46" s="1035" t="s">
        <v>244</v>
      </c>
      <c r="B46" s="710"/>
      <c r="C46" s="1036"/>
      <c r="D46" s="416"/>
      <c r="E46" s="1292" t="s">
        <v>826</v>
      </c>
      <c r="F46" s="1264"/>
      <c r="G46" s="1264"/>
      <c r="H46" s="1264"/>
      <c r="I46" s="1264"/>
      <c r="J46" s="1264"/>
      <c r="K46" s="1264"/>
      <c r="L46" s="1264"/>
      <c r="M46" s="1264"/>
      <c r="N46" s="1264"/>
      <c r="O46" s="1265"/>
      <c r="P46" s="1042"/>
      <c r="Q46" s="763"/>
      <c r="R46" s="763"/>
      <c r="S46" s="1044"/>
    </row>
    <row r="47" spans="1:19" s="382" customFormat="1" ht="76.5" customHeight="1">
      <c r="A47" s="401"/>
      <c r="B47" s="402"/>
      <c r="C47" s="390">
        <v>17</v>
      </c>
      <c r="D47" s="612"/>
      <c r="E47" s="491" t="s">
        <v>391</v>
      </c>
      <c r="F47" s="588"/>
      <c r="G47" s="596"/>
      <c r="H47" s="596"/>
      <c r="I47" s="596"/>
      <c r="J47" s="596"/>
      <c r="K47" s="596">
        <v>21124.32</v>
      </c>
      <c r="L47" s="563">
        <f t="shared" ref="L47" si="20">SUM(F47:K47)</f>
        <v>21124.32</v>
      </c>
      <c r="M47" s="563">
        <v>21124.32</v>
      </c>
      <c r="N47" s="563">
        <v>0</v>
      </c>
      <c r="O47" s="872">
        <v>0</v>
      </c>
      <c r="P47" s="760" t="s">
        <v>286</v>
      </c>
    </row>
    <row r="48" spans="1:19" s="1038" customFormat="1" ht="43.5" customHeight="1">
      <c r="A48" s="1035" t="s">
        <v>244</v>
      </c>
      <c r="B48" s="710"/>
      <c r="C48" s="1036"/>
      <c r="D48" s="416"/>
      <c r="E48" s="1292" t="s">
        <v>826</v>
      </c>
      <c r="F48" s="1264"/>
      <c r="G48" s="1264"/>
      <c r="H48" s="1264"/>
      <c r="I48" s="1264"/>
      <c r="J48" s="1264"/>
      <c r="K48" s="1264"/>
      <c r="L48" s="1264"/>
      <c r="M48" s="1264"/>
      <c r="N48" s="1264"/>
      <c r="O48" s="1265"/>
      <c r="P48" s="1042"/>
      <c r="Q48" s="763"/>
      <c r="R48" s="763"/>
      <c r="S48" s="1044"/>
    </row>
    <row r="49" spans="1:19" s="382" customFormat="1" ht="49.95" customHeight="1">
      <c r="A49" s="715"/>
      <c r="B49" s="662"/>
      <c r="C49" s="810">
        <v>18</v>
      </c>
      <c r="D49" s="841"/>
      <c r="E49" s="840" t="s">
        <v>386</v>
      </c>
      <c r="F49" s="588"/>
      <c r="G49" s="588"/>
      <c r="H49" s="588">
        <f>H51+H52+H53</f>
        <v>1433178</v>
      </c>
      <c r="I49" s="588"/>
      <c r="J49" s="588"/>
      <c r="K49" s="588">
        <f>K51+K52+K53</f>
        <v>864517</v>
      </c>
      <c r="L49" s="563">
        <f>L51+L52+L53</f>
        <v>2297695</v>
      </c>
      <c r="M49" s="563">
        <f>M51+M52+M53</f>
        <v>2297695</v>
      </c>
      <c r="N49" s="563">
        <f>N51+N52+N53</f>
        <v>38893.47</v>
      </c>
      <c r="O49" s="872">
        <f>O51+O52+O53</f>
        <v>0.46502076242787793</v>
      </c>
      <c r="P49" s="760" t="s">
        <v>286</v>
      </c>
    </row>
    <row r="50" spans="1:19" s="617" customFormat="1">
      <c r="A50" s="696"/>
      <c r="B50" s="657"/>
      <c r="C50" s="842"/>
      <c r="D50" s="843"/>
      <c r="E50" s="377" t="s">
        <v>16</v>
      </c>
      <c r="F50" s="654"/>
      <c r="G50" s="654"/>
      <c r="H50" s="654"/>
      <c r="I50" s="654"/>
      <c r="J50" s="654"/>
      <c r="K50" s="654"/>
      <c r="L50" s="656"/>
      <c r="M50" s="656"/>
      <c r="N50" s="656"/>
      <c r="O50" s="873"/>
      <c r="P50" s="764"/>
    </row>
    <row r="51" spans="1:19" s="617" customFormat="1" ht="40.200000000000003" customHeight="1">
      <c r="A51" s="696"/>
      <c r="B51" s="657"/>
      <c r="C51" s="842"/>
      <c r="D51" s="843"/>
      <c r="E51" s="377" t="s">
        <v>408</v>
      </c>
      <c r="F51" s="654"/>
      <c r="G51" s="654"/>
      <c r="H51" s="654">
        <v>37984</v>
      </c>
      <c r="I51" s="654"/>
      <c r="J51" s="654"/>
      <c r="K51" s="654">
        <v>12016</v>
      </c>
      <c r="L51" s="656">
        <f t="shared" ref="L51:L53" si="21">SUM(F51:K51)</f>
        <v>50000</v>
      </c>
      <c r="M51" s="656">
        <f>31749+10043+5458+1727+777+246</f>
        <v>50000</v>
      </c>
      <c r="N51" s="656">
        <v>22477.99</v>
      </c>
      <c r="O51" s="873">
        <f>N51/M51</f>
        <v>0.44955980000000001</v>
      </c>
      <c r="P51" s="764" t="s">
        <v>286</v>
      </c>
    </row>
    <row r="52" spans="1:19" s="617" customFormat="1" ht="40.200000000000003" customHeight="1">
      <c r="A52" s="696"/>
      <c r="B52" s="657"/>
      <c r="C52" s="842"/>
      <c r="D52" s="843"/>
      <c r="E52" s="377" t="s">
        <v>409</v>
      </c>
      <c r="F52" s="654"/>
      <c r="G52" s="654"/>
      <c r="H52" s="654">
        <v>13675</v>
      </c>
      <c r="I52" s="654"/>
      <c r="J52" s="654"/>
      <c r="K52" s="654">
        <v>8466</v>
      </c>
      <c r="L52" s="656">
        <f t="shared" si="21"/>
        <v>22141</v>
      </c>
      <c r="M52" s="656">
        <v>22141</v>
      </c>
      <c r="N52" s="656">
        <v>180.81</v>
      </c>
      <c r="O52" s="873">
        <f t="shared" ref="O52:O53" si="22">N52/M52</f>
        <v>8.1662978185267146E-3</v>
      </c>
      <c r="P52" s="764" t="s">
        <v>286</v>
      </c>
    </row>
    <row r="53" spans="1:19" s="617" customFormat="1" ht="40.200000000000003" customHeight="1">
      <c r="A53" s="696"/>
      <c r="B53" s="657"/>
      <c r="C53" s="1050"/>
      <c r="D53" s="1051"/>
      <c r="E53" s="377" t="s">
        <v>385</v>
      </c>
      <c r="F53" s="654"/>
      <c r="G53" s="654"/>
      <c r="H53" s="654">
        <v>1381519</v>
      </c>
      <c r="I53" s="654"/>
      <c r="J53" s="654"/>
      <c r="K53" s="654">
        <v>844035</v>
      </c>
      <c r="L53" s="656">
        <f t="shared" si="21"/>
        <v>2225554</v>
      </c>
      <c r="M53" s="656">
        <v>2225554</v>
      </c>
      <c r="N53" s="656">
        <v>16234.67</v>
      </c>
      <c r="O53" s="873">
        <f t="shared" si="22"/>
        <v>7.2946646093511999E-3</v>
      </c>
      <c r="P53" s="764" t="s">
        <v>286</v>
      </c>
    </row>
    <row r="54" spans="1:19" s="1033" customFormat="1" ht="57.75" customHeight="1">
      <c r="A54" s="1035"/>
      <c r="B54" s="710"/>
      <c r="C54" s="1036"/>
      <c r="D54" s="416"/>
      <c r="E54" s="1262" t="s">
        <v>867</v>
      </c>
      <c r="F54" s="1262"/>
      <c r="G54" s="1262"/>
      <c r="H54" s="1262"/>
      <c r="I54" s="1262"/>
      <c r="J54" s="1262"/>
      <c r="K54" s="1262"/>
      <c r="L54" s="1262"/>
      <c r="M54" s="1262"/>
      <c r="N54" s="1262"/>
      <c r="O54" s="1285"/>
      <c r="P54" s="1052"/>
      <c r="Q54" s="1032"/>
      <c r="R54" s="1053"/>
    </row>
    <row r="55" spans="1:19" s="382" customFormat="1" ht="97.95" customHeight="1">
      <c r="A55" s="715"/>
      <c r="B55" s="662"/>
      <c r="C55" s="630">
        <v>19</v>
      </c>
      <c r="D55" s="716"/>
      <c r="E55" s="490" t="s">
        <v>868</v>
      </c>
      <c r="F55" s="591"/>
      <c r="G55" s="592"/>
      <c r="H55" s="592"/>
      <c r="I55" s="592"/>
      <c r="J55" s="592"/>
      <c r="K55" s="592">
        <f>2105092+15000+30000+908+13092</f>
        <v>2164092</v>
      </c>
      <c r="L55" s="567">
        <f t="shared" ref="L55" si="23">SUM(F55:K55)</f>
        <v>2164092</v>
      </c>
      <c r="M55" s="567">
        <v>4258394</v>
      </c>
      <c r="N55" s="567">
        <v>29030.25</v>
      </c>
      <c r="O55" s="875">
        <f>N55/M55</f>
        <v>6.8171827219369553E-3</v>
      </c>
      <c r="P55" s="760" t="s">
        <v>286</v>
      </c>
    </row>
    <row r="56" spans="1:19" s="1033" customFormat="1" ht="72" customHeight="1">
      <c r="A56" s="1035"/>
      <c r="B56" s="710"/>
      <c r="C56" s="1036"/>
      <c r="D56" s="416"/>
      <c r="E56" s="1262" t="s">
        <v>869</v>
      </c>
      <c r="F56" s="1262"/>
      <c r="G56" s="1262"/>
      <c r="H56" s="1262"/>
      <c r="I56" s="1262"/>
      <c r="J56" s="1262"/>
      <c r="K56" s="1262"/>
      <c r="L56" s="1262"/>
      <c r="M56" s="1262"/>
      <c r="N56" s="1262"/>
      <c r="O56" s="1285"/>
      <c r="P56" s="1052"/>
      <c r="Q56" s="1032"/>
      <c r="R56" s="1053"/>
    </row>
    <row r="57" spans="1:19" s="382" customFormat="1" ht="90.75" customHeight="1">
      <c r="A57" s="401"/>
      <c r="B57" s="402"/>
      <c r="C57" s="793">
        <v>20</v>
      </c>
      <c r="D57" s="831"/>
      <c r="E57" s="491" t="s">
        <v>321</v>
      </c>
      <c r="F57" s="588"/>
      <c r="G57" s="596"/>
      <c r="H57" s="596"/>
      <c r="I57" s="596"/>
      <c r="J57" s="596"/>
      <c r="K57" s="596">
        <v>160000</v>
      </c>
      <c r="L57" s="563">
        <f t="shared" ref="L57:L63" si="24">SUM(F57:K57)</f>
        <v>160000</v>
      </c>
      <c r="M57" s="563">
        <v>160000</v>
      </c>
      <c r="N57" s="563">
        <v>127231.2</v>
      </c>
      <c r="O57" s="872">
        <f>N57/M57</f>
        <v>0.79519499999999999</v>
      </c>
      <c r="P57" s="760" t="s">
        <v>286</v>
      </c>
    </row>
    <row r="58" spans="1:19" s="1033" customFormat="1" ht="57.75" customHeight="1">
      <c r="A58" s="1035"/>
      <c r="B58" s="710"/>
      <c r="C58" s="1036"/>
      <c r="D58" s="416"/>
      <c r="E58" s="1262" t="s">
        <v>870</v>
      </c>
      <c r="F58" s="1262"/>
      <c r="G58" s="1262"/>
      <c r="H58" s="1262"/>
      <c r="I58" s="1262"/>
      <c r="J58" s="1262"/>
      <c r="K58" s="1262"/>
      <c r="L58" s="1262"/>
      <c r="M58" s="1262"/>
      <c r="N58" s="1262"/>
      <c r="O58" s="1285"/>
      <c r="P58" s="1052"/>
      <c r="Q58" s="1032"/>
      <c r="R58" s="1053"/>
    </row>
    <row r="59" spans="1:19" s="382" customFormat="1" ht="82.95" customHeight="1">
      <c r="A59" s="715"/>
      <c r="B59" s="662"/>
      <c r="C59" s="846">
        <v>21</v>
      </c>
      <c r="D59" s="847"/>
      <c r="E59" s="626" t="s">
        <v>360</v>
      </c>
      <c r="F59" s="588"/>
      <c r="G59" s="596"/>
      <c r="H59" s="596"/>
      <c r="I59" s="596"/>
      <c r="J59" s="596"/>
      <c r="K59" s="596">
        <v>15000</v>
      </c>
      <c r="L59" s="563">
        <f t="shared" si="24"/>
        <v>15000</v>
      </c>
      <c r="M59" s="563">
        <v>15000</v>
      </c>
      <c r="N59" s="563">
        <v>0</v>
      </c>
      <c r="O59" s="872">
        <v>0</v>
      </c>
      <c r="P59" s="760" t="s">
        <v>286</v>
      </c>
    </row>
    <row r="60" spans="1:19" s="1038" customFormat="1" ht="43.5" customHeight="1">
      <c r="A60" s="1035" t="s">
        <v>244</v>
      </c>
      <c r="B60" s="710"/>
      <c r="C60" s="1036"/>
      <c r="D60" s="416"/>
      <c r="E60" s="1292" t="s">
        <v>871</v>
      </c>
      <c r="F60" s="1264"/>
      <c r="G60" s="1264"/>
      <c r="H60" s="1264"/>
      <c r="I60" s="1264"/>
      <c r="J60" s="1264"/>
      <c r="K60" s="1264"/>
      <c r="L60" s="1264"/>
      <c r="M60" s="1264"/>
      <c r="N60" s="1264"/>
      <c r="O60" s="1265"/>
      <c r="P60" s="1042"/>
      <c r="Q60" s="763"/>
      <c r="R60" s="763"/>
      <c r="S60" s="1044"/>
    </row>
    <row r="61" spans="1:19" s="382" customFormat="1" ht="140.4" customHeight="1">
      <c r="A61" s="715"/>
      <c r="B61" s="662"/>
      <c r="C61" s="846">
        <v>22</v>
      </c>
      <c r="D61" s="847"/>
      <c r="E61" s="626" t="s">
        <v>361</v>
      </c>
      <c r="F61" s="588"/>
      <c r="G61" s="596"/>
      <c r="H61" s="596"/>
      <c r="I61" s="596"/>
      <c r="J61" s="596"/>
      <c r="K61" s="596">
        <v>12000</v>
      </c>
      <c r="L61" s="563">
        <f t="shared" si="24"/>
        <v>12000</v>
      </c>
      <c r="M61" s="563">
        <v>12000</v>
      </c>
      <c r="N61" s="563">
        <v>0</v>
      </c>
      <c r="O61" s="872">
        <v>0</v>
      </c>
      <c r="P61" s="760" t="s">
        <v>286</v>
      </c>
    </row>
    <row r="62" spans="1:19" s="1038" customFormat="1" ht="43.5" customHeight="1">
      <c r="A62" s="1035" t="s">
        <v>244</v>
      </c>
      <c r="B62" s="710"/>
      <c r="C62" s="1036"/>
      <c r="D62" s="416"/>
      <c r="E62" s="1292" t="s">
        <v>871</v>
      </c>
      <c r="F62" s="1264"/>
      <c r="G62" s="1264"/>
      <c r="H62" s="1264"/>
      <c r="I62" s="1264"/>
      <c r="J62" s="1264"/>
      <c r="K62" s="1264"/>
      <c r="L62" s="1264"/>
      <c r="M62" s="1264"/>
      <c r="N62" s="1264"/>
      <c r="O62" s="1265"/>
      <c r="P62" s="1042"/>
      <c r="Q62" s="763"/>
      <c r="R62" s="763"/>
      <c r="S62" s="1044"/>
    </row>
    <row r="63" spans="1:19" s="382" customFormat="1" ht="95.4" customHeight="1">
      <c r="A63" s="715"/>
      <c r="B63" s="662"/>
      <c r="C63" s="846">
        <v>23</v>
      </c>
      <c r="D63" s="847"/>
      <c r="E63" s="626" t="s">
        <v>366</v>
      </c>
      <c r="F63" s="588"/>
      <c r="G63" s="596"/>
      <c r="H63" s="596"/>
      <c r="I63" s="596"/>
      <c r="J63" s="596"/>
      <c r="K63" s="596">
        <v>15000</v>
      </c>
      <c r="L63" s="563">
        <f t="shared" si="24"/>
        <v>15000</v>
      </c>
      <c r="M63" s="563">
        <v>15000</v>
      </c>
      <c r="N63" s="563">
        <v>0</v>
      </c>
      <c r="O63" s="872">
        <v>0</v>
      </c>
      <c r="P63" s="760" t="s">
        <v>286</v>
      </c>
    </row>
    <row r="64" spans="1:19" s="1033" customFormat="1" ht="43.5" customHeight="1">
      <c r="A64" s="1035" t="s">
        <v>244</v>
      </c>
      <c r="B64" s="710"/>
      <c r="C64" s="1036"/>
      <c r="D64" s="416"/>
      <c r="E64" s="1292" t="s">
        <v>871</v>
      </c>
      <c r="F64" s="1264"/>
      <c r="G64" s="1264"/>
      <c r="H64" s="1264"/>
      <c r="I64" s="1264"/>
      <c r="J64" s="1264"/>
      <c r="K64" s="1264"/>
      <c r="L64" s="1264"/>
      <c r="M64" s="1264"/>
      <c r="N64" s="1264"/>
      <c r="O64" s="1265"/>
      <c r="P64" s="1214"/>
      <c r="Q64" s="764"/>
      <c r="R64" s="764"/>
      <c r="S64" s="1215"/>
    </row>
    <row r="65" spans="1:20" s="382" customFormat="1" ht="61.2" customHeight="1">
      <c r="A65" s="715"/>
      <c r="B65" s="662"/>
      <c r="C65" s="810">
        <v>24</v>
      </c>
      <c r="D65" s="841"/>
      <c r="E65" s="626" t="s">
        <v>411</v>
      </c>
      <c r="F65" s="588"/>
      <c r="G65" s="596"/>
      <c r="H65" s="596"/>
      <c r="I65" s="596"/>
      <c r="J65" s="596"/>
      <c r="K65" s="596">
        <v>15000</v>
      </c>
      <c r="L65" s="563">
        <f t="shared" ref="L65:L81" si="25">SUM(F65:K65)</f>
        <v>15000</v>
      </c>
      <c r="M65" s="563">
        <v>0</v>
      </c>
      <c r="N65" s="563">
        <v>0</v>
      </c>
      <c r="O65" s="872">
        <v>0</v>
      </c>
      <c r="P65" s="760" t="s">
        <v>286</v>
      </c>
    </row>
    <row r="66" spans="1:20" s="1033" customFormat="1" ht="57.75" customHeight="1">
      <c r="A66" s="1035"/>
      <c r="B66" s="710"/>
      <c r="C66" s="1055"/>
      <c r="D66" s="1056"/>
      <c r="E66" s="1264" t="s">
        <v>645</v>
      </c>
      <c r="F66" s="1264"/>
      <c r="G66" s="1264"/>
      <c r="H66" s="1264"/>
      <c r="I66" s="1264"/>
      <c r="J66" s="1264"/>
      <c r="K66" s="1264"/>
      <c r="L66" s="1264"/>
      <c r="M66" s="1264"/>
      <c r="N66" s="1264"/>
      <c r="O66" s="1265"/>
      <c r="P66" s="1052"/>
      <c r="Q66" s="1032"/>
      <c r="R66" s="1053"/>
    </row>
    <row r="67" spans="1:20" s="382" customFormat="1" ht="69.599999999999994" customHeight="1">
      <c r="A67" s="715"/>
      <c r="B67" s="662"/>
      <c r="C67" s="810">
        <v>25</v>
      </c>
      <c r="D67" s="841"/>
      <c r="E67" s="1054" t="s">
        <v>415</v>
      </c>
      <c r="F67" s="819"/>
      <c r="G67" s="820"/>
      <c r="H67" s="820"/>
      <c r="I67" s="820"/>
      <c r="J67" s="820"/>
      <c r="K67" s="820">
        <v>60000</v>
      </c>
      <c r="L67" s="666">
        <f t="shared" si="25"/>
        <v>60000</v>
      </c>
      <c r="M67" s="666">
        <v>0</v>
      </c>
      <c r="N67" s="666">
        <v>0</v>
      </c>
      <c r="O67" s="874">
        <v>0</v>
      </c>
      <c r="P67" s="760" t="s">
        <v>286</v>
      </c>
    </row>
    <row r="68" spans="1:20" s="1033" customFormat="1" ht="57.75" customHeight="1">
      <c r="A68" s="1035"/>
      <c r="B68" s="710"/>
      <c r="C68" s="1055"/>
      <c r="D68" s="1056"/>
      <c r="E68" s="1264" t="s">
        <v>654</v>
      </c>
      <c r="F68" s="1264"/>
      <c r="G68" s="1264"/>
      <c r="H68" s="1264"/>
      <c r="I68" s="1264"/>
      <c r="J68" s="1264"/>
      <c r="K68" s="1264"/>
      <c r="L68" s="1264"/>
      <c r="M68" s="1264"/>
      <c r="N68" s="1264"/>
      <c r="O68" s="1265"/>
      <c r="P68" s="1052"/>
      <c r="Q68" s="1032"/>
      <c r="R68" s="1053"/>
    </row>
    <row r="69" spans="1:20" s="382" customFormat="1" ht="69.599999999999994" customHeight="1">
      <c r="A69" s="715"/>
      <c r="B69" s="662"/>
      <c r="C69" s="810">
        <v>26</v>
      </c>
      <c r="D69" s="841"/>
      <c r="E69" s="626" t="s">
        <v>646</v>
      </c>
      <c r="F69" s="588"/>
      <c r="G69" s="596"/>
      <c r="H69" s="596"/>
      <c r="I69" s="596"/>
      <c r="J69" s="596"/>
      <c r="K69" s="596">
        <v>60000</v>
      </c>
      <c r="L69" s="563">
        <v>0</v>
      </c>
      <c r="M69" s="563">
        <v>1500</v>
      </c>
      <c r="N69" s="563">
        <v>1107</v>
      </c>
      <c r="O69" s="872">
        <v>0</v>
      </c>
      <c r="P69" s="760" t="s">
        <v>286</v>
      </c>
    </row>
    <row r="70" spans="1:20" s="1033" customFormat="1" ht="57.75" customHeight="1">
      <c r="A70" s="1035"/>
      <c r="B70" s="710"/>
      <c r="C70" s="1055"/>
      <c r="D70" s="1056"/>
      <c r="E70" s="1264" t="s">
        <v>655</v>
      </c>
      <c r="F70" s="1264"/>
      <c r="G70" s="1264"/>
      <c r="H70" s="1264"/>
      <c r="I70" s="1264"/>
      <c r="J70" s="1264"/>
      <c r="K70" s="1264"/>
      <c r="L70" s="1264"/>
      <c r="M70" s="1264"/>
      <c r="N70" s="1264"/>
      <c r="O70" s="1265"/>
      <c r="P70" s="1052"/>
      <c r="Q70" s="1032"/>
      <c r="R70" s="1053"/>
    </row>
    <row r="71" spans="1:20" s="382" customFormat="1" ht="141.6" customHeight="1">
      <c r="A71" s="715"/>
      <c r="B71" s="662"/>
      <c r="C71" s="810">
        <v>27</v>
      </c>
      <c r="D71" s="841"/>
      <c r="E71" s="626" t="s">
        <v>647</v>
      </c>
      <c r="F71" s="588"/>
      <c r="G71" s="596"/>
      <c r="H71" s="596"/>
      <c r="I71" s="596"/>
      <c r="J71" s="596"/>
      <c r="K71" s="596">
        <v>60000</v>
      </c>
      <c r="L71" s="563">
        <v>0</v>
      </c>
      <c r="M71" s="563">
        <v>5000</v>
      </c>
      <c r="N71" s="563">
        <v>1500</v>
      </c>
      <c r="O71" s="872">
        <f>N71/M71</f>
        <v>0.3</v>
      </c>
      <c r="P71" s="760" t="s">
        <v>286</v>
      </c>
      <c r="T71" s="382" t="s">
        <v>652</v>
      </c>
    </row>
    <row r="72" spans="1:20" s="1033" customFormat="1" ht="57.75" customHeight="1">
      <c r="A72" s="1035"/>
      <c r="B72" s="710"/>
      <c r="C72" s="1055"/>
      <c r="D72" s="1056"/>
      <c r="E72" s="1264" t="s">
        <v>828</v>
      </c>
      <c r="F72" s="1264"/>
      <c r="G72" s="1264"/>
      <c r="H72" s="1264"/>
      <c r="I72" s="1264"/>
      <c r="J72" s="1264"/>
      <c r="K72" s="1264"/>
      <c r="L72" s="1264"/>
      <c r="M72" s="1264"/>
      <c r="N72" s="1264"/>
      <c r="O72" s="1265"/>
      <c r="P72" s="1052"/>
      <c r="Q72" s="1032"/>
      <c r="R72" s="1053"/>
    </row>
    <row r="73" spans="1:20" s="382" customFormat="1" ht="66" customHeight="1">
      <c r="A73" s="715"/>
      <c r="B73" s="662"/>
      <c r="C73" s="810">
        <v>28</v>
      </c>
      <c r="D73" s="841"/>
      <c r="E73" s="626" t="s">
        <v>648</v>
      </c>
      <c r="F73" s="588"/>
      <c r="G73" s="596"/>
      <c r="H73" s="596"/>
      <c r="I73" s="596"/>
      <c r="J73" s="596"/>
      <c r="K73" s="596">
        <v>60000</v>
      </c>
      <c r="L73" s="563">
        <v>0</v>
      </c>
      <c r="M73" s="563">
        <v>245</v>
      </c>
      <c r="N73" s="563">
        <v>215.25</v>
      </c>
      <c r="O73" s="872">
        <f>N73/M73</f>
        <v>0.87857142857142856</v>
      </c>
      <c r="P73" s="760" t="s">
        <v>286</v>
      </c>
    </row>
    <row r="74" spans="1:20" s="1033" customFormat="1" ht="57.75" customHeight="1">
      <c r="A74" s="1035"/>
      <c r="B74" s="710"/>
      <c r="C74" s="1055"/>
      <c r="D74" s="1056"/>
      <c r="E74" s="1264" t="s">
        <v>872</v>
      </c>
      <c r="F74" s="1264"/>
      <c r="G74" s="1264"/>
      <c r="H74" s="1264"/>
      <c r="I74" s="1264"/>
      <c r="J74" s="1264"/>
      <c r="K74" s="1264"/>
      <c r="L74" s="1264"/>
      <c r="M74" s="1264"/>
      <c r="N74" s="1264"/>
      <c r="O74" s="1265"/>
      <c r="P74" s="1052"/>
      <c r="Q74" s="1032"/>
      <c r="R74" s="1053"/>
    </row>
    <row r="75" spans="1:20" s="382" customFormat="1" ht="66" customHeight="1">
      <c r="A75" s="715"/>
      <c r="B75" s="662"/>
      <c r="C75" s="810">
        <v>29</v>
      </c>
      <c r="D75" s="841"/>
      <c r="E75" s="626" t="s">
        <v>649</v>
      </c>
      <c r="F75" s="588"/>
      <c r="G75" s="596"/>
      <c r="H75" s="596"/>
      <c r="I75" s="596"/>
      <c r="J75" s="596"/>
      <c r="K75" s="596">
        <v>60000</v>
      </c>
      <c r="L75" s="563">
        <v>0</v>
      </c>
      <c r="M75" s="563">
        <v>5000</v>
      </c>
      <c r="N75" s="563">
        <v>0</v>
      </c>
      <c r="O75" s="872">
        <v>0</v>
      </c>
      <c r="P75" s="760" t="s">
        <v>286</v>
      </c>
    </row>
    <row r="76" spans="1:20" s="1038" customFormat="1" ht="43.5" customHeight="1">
      <c r="A76" s="1035" t="s">
        <v>244</v>
      </c>
      <c r="B76" s="710"/>
      <c r="C76" s="1036"/>
      <c r="D76" s="416"/>
      <c r="E76" s="1292" t="s">
        <v>826</v>
      </c>
      <c r="F76" s="1264"/>
      <c r="G76" s="1264"/>
      <c r="H76" s="1264"/>
      <c r="I76" s="1264"/>
      <c r="J76" s="1264"/>
      <c r="K76" s="1264"/>
      <c r="L76" s="1264"/>
      <c r="M76" s="1264"/>
      <c r="N76" s="1264"/>
      <c r="O76" s="1265"/>
      <c r="P76" s="1042"/>
      <c r="Q76" s="763"/>
      <c r="R76" s="763"/>
      <c r="S76" s="1044"/>
    </row>
    <row r="77" spans="1:20" s="382" customFormat="1" ht="45" customHeight="1">
      <c r="A77" s="715"/>
      <c r="B77" s="662"/>
      <c r="C77" s="810">
        <v>30</v>
      </c>
      <c r="D77" s="841"/>
      <c r="E77" s="626" t="s">
        <v>650</v>
      </c>
      <c r="F77" s="588"/>
      <c r="G77" s="596"/>
      <c r="H77" s="596"/>
      <c r="I77" s="596"/>
      <c r="J77" s="596"/>
      <c r="K77" s="596">
        <v>60000</v>
      </c>
      <c r="L77" s="563">
        <v>0</v>
      </c>
      <c r="M77" s="563">
        <v>18000</v>
      </c>
      <c r="N77" s="563">
        <v>0</v>
      </c>
      <c r="O77" s="872">
        <v>0</v>
      </c>
      <c r="P77" s="760" t="s">
        <v>286</v>
      </c>
    </row>
    <row r="78" spans="1:20" s="1033" customFormat="1" ht="57.75" customHeight="1">
      <c r="A78" s="1035"/>
      <c r="B78" s="710"/>
      <c r="C78" s="1055"/>
      <c r="D78" s="1056"/>
      <c r="E78" s="1264" t="s">
        <v>653</v>
      </c>
      <c r="F78" s="1264"/>
      <c r="G78" s="1264"/>
      <c r="H78" s="1264"/>
      <c r="I78" s="1264"/>
      <c r="J78" s="1264"/>
      <c r="K78" s="1264"/>
      <c r="L78" s="1264"/>
      <c r="M78" s="1264"/>
      <c r="N78" s="1264"/>
      <c r="O78" s="1265"/>
      <c r="P78" s="1052"/>
      <c r="Q78" s="1032"/>
      <c r="R78" s="1053"/>
    </row>
    <row r="79" spans="1:20" s="382" customFormat="1" ht="46.2" customHeight="1">
      <c r="A79" s="715"/>
      <c r="B79" s="662"/>
      <c r="C79" s="810">
        <v>30</v>
      </c>
      <c r="D79" s="841"/>
      <c r="E79" s="626" t="s">
        <v>651</v>
      </c>
      <c r="F79" s="588"/>
      <c r="G79" s="596"/>
      <c r="H79" s="596"/>
      <c r="I79" s="596"/>
      <c r="J79" s="596"/>
      <c r="K79" s="596">
        <v>60000</v>
      </c>
      <c r="L79" s="563">
        <v>0</v>
      </c>
      <c r="M79" s="563">
        <v>12000</v>
      </c>
      <c r="N79" s="563">
        <v>0</v>
      </c>
      <c r="O79" s="872">
        <v>0</v>
      </c>
      <c r="P79" s="760" t="s">
        <v>286</v>
      </c>
    </row>
    <row r="80" spans="1:20" s="1038" customFormat="1" ht="43.5" customHeight="1">
      <c r="A80" s="1035" t="s">
        <v>244</v>
      </c>
      <c r="B80" s="710"/>
      <c r="C80" s="1216"/>
      <c r="D80" s="1217"/>
      <c r="E80" s="1318" t="s">
        <v>826</v>
      </c>
      <c r="F80" s="1283"/>
      <c r="G80" s="1283"/>
      <c r="H80" s="1283"/>
      <c r="I80" s="1283"/>
      <c r="J80" s="1283"/>
      <c r="K80" s="1283"/>
      <c r="L80" s="1283"/>
      <c r="M80" s="1283"/>
      <c r="N80" s="1283"/>
      <c r="O80" s="1284"/>
      <c r="P80" s="1042"/>
      <c r="Q80" s="763"/>
      <c r="R80" s="763"/>
      <c r="S80" s="1044"/>
    </row>
    <row r="81" spans="1:19" s="79" customFormat="1" ht="52.5" customHeight="1">
      <c r="A81" s="573"/>
      <c r="B81" s="78">
        <v>60017</v>
      </c>
      <c r="C81" s="77"/>
      <c r="D81" s="76"/>
      <c r="E81" s="75" t="s">
        <v>308</v>
      </c>
      <c r="F81" s="95">
        <f>SUM(F82:F98)</f>
        <v>0</v>
      </c>
      <c r="G81" s="95">
        <f>SUM(G82:G98)</f>
        <v>0</v>
      </c>
      <c r="H81" s="95">
        <f>SUM(H82:H98)</f>
        <v>0</v>
      </c>
      <c r="I81" s="95">
        <f>SUM(I82:I98)</f>
        <v>0</v>
      </c>
      <c r="J81" s="95">
        <f>SUM(J82:J98)</f>
        <v>0</v>
      </c>
      <c r="K81" s="95">
        <f>SUM(K82:K100)</f>
        <v>137606.62999999998</v>
      </c>
      <c r="L81" s="95">
        <f t="shared" si="25"/>
        <v>137606.62999999998</v>
      </c>
      <c r="M81" s="95">
        <f>M82+M84+M86+M88+M90+M92+M94+M96+M98+M100</f>
        <v>128595.62999999998</v>
      </c>
      <c r="N81" s="95">
        <f>N82+N84+N86+N88+N90+N92+N94+N96+N98+N100</f>
        <v>17956.650000000001</v>
      </c>
      <c r="O81" s="868">
        <f>N81/M81</f>
        <v>0.13963654908024484</v>
      </c>
      <c r="P81" s="760" t="s">
        <v>286</v>
      </c>
    </row>
    <row r="82" spans="1:19" s="382" customFormat="1" ht="141" customHeight="1">
      <c r="A82" s="401"/>
      <c r="B82" s="402"/>
      <c r="C82" s="390">
        <v>1</v>
      </c>
      <c r="D82" s="403"/>
      <c r="E82" s="486" t="s">
        <v>285</v>
      </c>
      <c r="F82" s="128"/>
      <c r="G82" s="367"/>
      <c r="H82" s="367"/>
      <c r="I82" s="367"/>
      <c r="J82" s="367"/>
      <c r="K82" s="367">
        <v>30000</v>
      </c>
      <c r="L82" s="456">
        <f t="shared" ref="L82" si="26">SUM(F82:K82)</f>
        <v>30000</v>
      </c>
      <c r="M82" s="456">
        <f>16975</f>
        <v>16975</v>
      </c>
      <c r="N82" s="456">
        <v>1991</v>
      </c>
      <c r="O82" s="871">
        <f>N82/M82</f>
        <v>0.11729013254786451</v>
      </c>
      <c r="P82" s="760" t="s">
        <v>286</v>
      </c>
    </row>
    <row r="83" spans="1:19" s="1033" customFormat="1" ht="57.75" customHeight="1">
      <c r="A83" s="1035"/>
      <c r="B83" s="710"/>
      <c r="C83" s="1055"/>
      <c r="D83" s="1056"/>
      <c r="E83" s="1292" t="s">
        <v>873</v>
      </c>
      <c r="F83" s="1264"/>
      <c r="G83" s="1264"/>
      <c r="H83" s="1264"/>
      <c r="I83" s="1264"/>
      <c r="J83" s="1264"/>
      <c r="K83" s="1264"/>
      <c r="L83" s="1264"/>
      <c r="M83" s="1264"/>
      <c r="N83" s="1264"/>
      <c r="O83" s="1265"/>
      <c r="P83" s="1052"/>
      <c r="Q83" s="1032"/>
      <c r="R83" s="1053"/>
    </row>
    <row r="84" spans="1:19" s="382" customFormat="1" ht="73.5" customHeight="1">
      <c r="A84" s="401"/>
      <c r="B84" s="402"/>
      <c r="C84" s="390">
        <v>2</v>
      </c>
      <c r="D84" s="403"/>
      <c r="E84" s="486" t="s">
        <v>309</v>
      </c>
      <c r="F84" s="128"/>
      <c r="G84" s="367"/>
      <c r="H84" s="367"/>
      <c r="I84" s="367"/>
      <c r="J84" s="367"/>
      <c r="K84" s="367">
        <v>30000</v>
      </c>
      <c r="L84" s="456">
        <f t="shared" ref="L84" si="27">SUM(F84:K84)</f>
        <v>30000</v>
      </c>
      <c r="M84" s="456">
        <v>30000</v>
      </c>
      <c r="N84" s="456">
        <v>0</v>
      </c>
      <c r="O84" s="871">
        <v>0</v>
      </c>
      <c r="P84" s="760" t="s">
        <v>286</v>
      </c>
    </row>
    <row r="85" spans="1:19" s="1038" customFormat="1" ht="43.5" customHeight="1">
      <c r="A85" s="1035" t="s">
        <v>244</v>
      </c>
      <c r="B85" s="710"/>
      <c r="C85" s="1031"/>
      <c r="D85" s="416"/>
      <c r="E85" s="1298" t="s">
        <v>826</v>
      </c>
      <c r="F85" s="1262"/>
      <c r="G85" s="1262"/>
      <c r="H85" s="1262"/>
      <c r="I85" s="1262"/>
      <c r="J85" s="1262"/>
      <c r="K85" s="1262"/>
      <c r="L85" s="1262"/>
      <c r="M85" s="1262"/>
      <c r="N85" s="1262"/>
      <c r="O85" s="1321"/>
      <c r="P85" s="1042"/>
      <c r="Q85" s="763"/>
      <c r="R85" s="763"/>
      <c r="S85" s="1044"/>
    </row>
    <row r="86" spans="1:19" s="382" customFormat="1" ht="73.5" customHeight="1">
      <c r="A86" s="715"/>
      <c r="B86" s="662"/>
      <c r="C86" s="594">
        <v>3</v>
      </c>
      <c r="D86" s="612"/>
      <c r="E86" s="486" t="s">
        <v>310</v>
      </c>
      <c r="F86" s="588"/>
      <c r="G86" s="596"/>
      <c r="H86" s="596"/>
      <c r="I86" s="596"/>
      <c r="J86" s="596"/>
      <c r="K86" s="596">
        <v>10000</v>
      </c>
      <c r="L86" s="563">
        <f t="shared" ref="L86" si="28">SUM(F86:K86)</f>
        <v>10000</v>
      </c>
      <c r="M86" s="563">
        <v>10000</v>
      </c>
      <c r="N86" s="563">
        <v>0</v>
      </c>
      <c r="O86" s="872">
        <v>0</v>
      </c>
      <c r="P86" s="760" t="s">
        <v>286</v>
      </c>
    </row>
    <row r="87" spans="1:19" s="1033" customFormat="1" ht="43.5" customHeight="1">
      <c r="A87" s="1035" t="s">
        <v>244</v>
      </c>
      <c r="B87" s="710"/>
      <c r="C87" s="1036"/>
      <c r="D87" s="416"/>
      <c r="E87" s="1292" t="s">
        <v>826</v>
      </c>
      <c r="F87" s="1264"/>
      <c r="G87" s="1264"/>
      <c r="H87" s="1264"/>
      <c r="I87" s="1264"/>
      <c r="J87" s="1264"/>
      <c r="K87" s="1264"/>
      <c r="L87" s="1264"/>
      <c r="M87" s="1264"/>
      <c r="N87" s="1264"/>
      <c r="O87" s="1265"/>
      <c r="P87" s="1214"/>
      <c r="Q87" s="764"/>
      <c r="R87" s="764"/>
      <c r="S87" s="1215"/>
    </row>
    <row r="88" spans="1:19" s="382" customFormat="1" ht="45.6" customHeight="1">
      <c r="A88" s="401"/>
      <c r="B88" s="402"/>
      <c r="C88" s="390">
        <v>4</v>
      </c>
      <c r="D88" s="403"/>
      <c r="E88" s="486" t="s">
        <v>311</v>
      </c>
      <c r="F88" s="128"/>
      <c r="G88" s="367"/>
      <c r="H88" s="367"/>
      <c r="I88" s="367"/>
      <c r="J88" s="367"/>
      <c r="K88" s="367">
        <v>5000</v>
      </c>
      <c r="L88" s="456">
        <f t="shared" ref="L88" si="29">SUM(F88:K88)</f>
        <v>5000</v>
      </c>
      <c r="M88" s="456">
        <v>0</v>
      </c>
      <c r="N88" s="456">
        <v>0</v>
      </c>
      <c r="O88" s="871">
        <v>0</v>
      </c>
      <c r="P88" s="760" t="s">
        <v>286</v>
      </c>
    </row>
    <row r="89" spans="1:19" s="1033" customFormat="1" ht="43.5" customHeight="1">
      <c r="A89" s="1035" t="s">
        <v>244</v>
      </c>
      <c r="B89" s="710"/>
      <c r="C89" s="1036"/>
      <c r="D89" s="416"/>
      <c r="E89" s="1292" t="s">
        <v>826</v>
      </c>
      <c r="F89" s="1264"/>
      <c r="G89" s="1264"/>
      <c r="H89" s="1264"/>
      <c r="I89" s="1264"/>
      <c r="J89" s="1264"/>
      <c r="K89" s="1264"/>
      <c r="L89" s="1264"/>
      <c r="M89" s="1264"/>
      <c r="N89" s="1264"/>
      <c r="O89" s="1265"/>
      <c r="P89" s="1214"/>
      <c r="Q89" s="764"/>
      <c r="R89" s="764"/>
      <c r="S89" s="1215"/>
    </row>
    <row r="90" spans="1:19" s="382" customFormat="1" ht="84" customHeight="1">
      <c r="A90" s="401"/>
      <c r="B90" s="402"/>
      <c r="C90" s="390">
        <v>5</v>
      </c>
      <c r="D90" s="403"/>
      <c r="E90" s="491" t="s">
        <v>312</v>
      </c>
      <c r="F90" s="128"/>
      <c r="G90" s="367"/>
      <c r="H90" s="367"/>
      <c r="I90" s="367"/>
      <c r="J90" s="367"/>
      <c r="K90" s="367">
        <v>13215.71</v>
      </c>
      <c r="L90" s="456">
        <f t="shared" ref="L90" si="30">SUM(F90:K90)</f>
        <v>13215.71</v>
      </c>
      <c r="M90" s="456">
        <v>13215.71</v>
      </c>
      <c r="N90" s="456">
        <v>0</v>
      </c>
      <c r="O90" s="871">
        <v>0</v>
      </c>
      <c r="P90" s="760" t="s">
        <v>286</v>
      </c>
    </row>
    <row r="91" spans="1:19" s="1033" customFormat="1" ht="43.5" customHeight="1">
      <c r="A91" s="1035" t="s">
        <v>244</v>
      </c>
      <c r="B91" s="710"/>
      <c r="C91" s="1036"/>
      <c r="D91" s="416"/>
      <c r="E91" s="1292" t="s">
        <v>826</v>
      </c>
      <c r="F91" s="1264"/>
      <c r="G91" s="1264"/>
      <c r="H91" s="1264"/>
      <c r="I91" s="1264"/>
      <c r="J91" s="1264"/>
      <c r="K91" s="1264"/>
      <c r="L91" s="1264"/>
      <c r="M91" s="1264"/>
      <c r="N91" s="1264"/>
      <c r="O91" s="1265"/>
      <c r="P91" s="1214"/>
      <c r="Q91" s="764"/>
      <c r="R91" s="764"/>
      <c r="S91" s="1215"/>
    </row>
    <row r="92" spans="1:19" s="382" customFormat="1" ht="108.75" customHeight="1">
      <c r="A92" s="401"/>
      <c r="B92" s="402"/>
      <c r="C92" s="390">
        <v>6</v>
      </c>
      <c r="D92" s="403"/>
      <c r="E92" s="491" t="s">
        <v>394</v>
      </c>
      <c r="F92" s="128"/>
      <c r="G92" s="367"/>
      <c r="H92" s="367"/>
      <c r="I92" s="367"/>
      <c r="J92" s="367"/>
      <c r="K92" s="367">
        <v>11203.87</v>
      </c>
      <c r="L92" s="456">
        <f t="shared" ref="L92" si="31">SUM(F92:K92)</f>
        <v>11203.87</v>
      </c>
      <c r="M92" s="456">
        <v>11203.87</v>
      </c>
      <c r="N92" s="456">
        <v>5971.65</v>
      </c>
      <c r="O92" s="871">
        <f>N92/M92</f>
        <v>0.5329988655705572</v>
      </c>
      <c r="P92" s="760" t="s">
        <v>286</v>
      </c>
    </row>
    <row r="93" spans="1:19" s="1033" customFormat="1" ht="62.25" customHeight="1">
      <c r="A93" s="1035" t="s">
        <v>244</v>
      </c>
      <c r="B93" s="710"/>
      <c r="C93" s="1036"/>
      <c r="D93" s="416"/>
      <c r="E93" s="1292" t="s">
        <v>874</v>
      </c>
      <c r="F93" s="1264"/>
      <c r="G93" s="1264"/>
      <c r="H93" s="1264"/>
      <c r="I93" s="1264"/>
      <c r="J93" s="1264"/>
      <c r="K93" s="1264"/>
      <c r="L93" s="1264"/>
      <c r="M93" s="1264"/>
      <c r="N93" s="1264"/>
      <c r="O93" s="1265"/>
      <c r="P93" s="1214"/>
      <c r="Q93" s="764"/>
      <c r="R93" s="764"/>
      <c r="S93" s="1215"/>
    </row>
    <row r="94" spans="1:19" s="382" customFormat="1" ht="91.2" customHeight="1">
      <c r="A94" s="401"/>
      <c r="B94" s="402"/>
      <c r="C94" s="390">
        <v>7</v>
      </c>
      <c r="D94" s="403"/>
      <c r="E94" s="491" t="s">
        <v>395</v>
      </c>
      <c r="F94" s="128"/>
      <c r="G94" s="367"/>
      <c r="H94" s="367"/>
      <c r="I94" s="367"/>
      <c r="J94" s="367"/>
      <c r="K94" s="367">
        <v>16788.46</v>
      </c>
      <c r="L94" s="456">
        <f t="shared" ref="L94" si="32">SUM(F94:K94)</f>
        <v>16788.46</v>
      </c>
      <c r="M94" s="456">
        <v>16788.46</v>
      </c>
      <c r="N94" s="456">
        <v>0</v>
      </c>
      <c r="O94" s="871">
        <v>0</v>
      </c>
      <c r="P94" s="760" t="s">
        <v>286</v>
      </c>
    </row>
    <row r="95" spans="1:19" s="1033" customFormat="1" ht="43.5" customHeight="1">
      <c r="A95" s="1035" t="s">
        <v>244</v>
      </c>
      <c r="B95" s="710"/>
      <c r="C95" s="1036"/>
      <c r="D95" s="416"/>
      <c r="E95" s="1292" t="s">
        <v>826</v>
      </c>
      <c r="F95" s="1264"/>
      <c r="G95" s="1264"/>
      <c r="H95" s="1264"/>
      <c r="I95" s="1264"/>
      <c r="J95" s="1264"/>
      <c r="K95" s="1264"/>
      <c r="L95" s="1264"/>
      <c r="M95" s="1264"/>
      <c r="N95" s="1264"/>
      <c r="O95" s="1265"/>
      <c r="P95" s="1214"/>
      <c r="Q95" s="764"/>
      <c r="R95" s="764"/>
      <c r="S95" s="1215"/>
    </row>
    <row r="96" spans="1:19" s="382" customFormat="1" ht="70.5" customHeight="1">
      <c r="A96" s="401"/>
      <c r="B96" s="402"/>
      <c r="C96" s="390">
        <v>8</v>
      </c>
      <c r="D96" s="403"/>
      <c r="E96" s="491" t="s">
        <v>396</v>
      </c>
      <c r="F96" s="128"/>
      <c r="G96" s="367"/>
      <c r="H96" s="367"/>
      <c r="I96" s="367"/>
      <c r="J96" s="367"/>
      <c r="K96" s="367">
        <v>4855.1400000000003</v>
      </c>
      <c r="L96" s="456">
        <f t="shared" ref="L96" si="33">SUM(F96:K96)</f>
        <v>4855.1400000000003</v>
      </c>
      <c r="M96" s="456">
        <v>4855.1400000000003</v>
      </c>
      <c r="N96" s="456">
        <v>0</v>
      </c>
      <c r="O96" s="871">
        <v>0</v>
      </c>
      <c r="P96" s="760" t="s">
        <v>286</v>
      </c>
    </row>
    <row r="97" spans="1:19" s="1033" customFormat="1" ht="43.5" customHeight="1">
      <c r="A97" s="1035" t="s">
        <v>244</v>
      </c>
      <c r="B97" s="710"/>
      <c r="C97" s="1036"/>
      <c r="D97" s="416"/>
      <c r="E97" s="1292" t="s">
        <v>826</v>
      </c>
      <c r="F97" s="1264"/>
      <c r="G97" s="1264"/>
      <c r="H97" s="1264"/>
      <c r="I97" s="1264"/>
      <c r="J97" s="1264"/>
      <c r="K97" s="1264"/>
      <c r="L97" s="1264"/>
      <c r="M97" s="1264"/>
      <c r="N97" s="1264"/>
      <c r="O97" s="1265"/>
      <c r="P97" s="1214"/>
      <c r="Q97" s="764"/>
      <c r="R97" s="764"/>
      <c r="S97" s="1215"/>
    </row>
    <row r="98" spans="1:19" s="382" customFormat="1" ht="86.25" customHeight="1">
      <c r="A98" s="401"/>
      <c r="B98" s="402"/>
      <c r="C98" s="390">
        <v>9</v>
      </c>
      <c r="D98" s="403"/>
      <c r="E98" s="491" t="s">
        <v>313</v>
      </c>
      <c r="F98" s="128"/>
      <c r="G98" s="367"/>
      <c r="H98" s="367"/>
      <c r="I98" s="367"/>
      <c r="J98" s="367"/>
      <c r="K98" s="367">
        <v>15543.45</v>
      </c>
      <c r="L98" s="456">
        <f t="shared" ref="L98:L100" si="34">SUM(F98:K98)</f>
        <v>15543.45</v>
      </c>
      <c r="M98" s="456">
        <v>15543.45</v>
      </c>
      <c r="N98" s="456">
        <v>0</v>
      </c>
      <c r="O98" s="871">
        <v>0</v>
      </c>
      <c r="P98" s="760" t="s">
        <v>286</v>
      </c>
    </row>
    <row r="99" spans="1:19" s="1033" customFormat="1" ht="43.5" customHeight="1">
      <c r="A99" s="1035" t="s">
        <v>244</v>
      </c>
      <c r="B99" s="710"/>
      <c r="C99" s="1036"/>
      <c r="D99" s="416"/>
      <c r="E99" s="1292" t="s">
        <v>826</v>
      </c>
      <c r="F99" s="1264"/>
      <c r="G99" s="1264"/>
      <c r="H99" s="1264"/>
      <c r="I99" s="1264"/>
      <c r="J99" s="1264"/>
      <c r="K99" s="1264"/>
      <c r="L99" s="1264"/>
      <c r="M99" s="1264"/>
      <c r="N99" s="1264"/>
      <c r="O99" s="1265"/>
      <c r="P99" s="1214"/>
      <c r="Q99" s="764"/>
      <c r="R99" s="764"/>
      <c r="S99" s="1215"/>
    </row>
    <row r="100" spans="1:19" s="382" customFormat="1" ht="63" customHeight="1">
      <c r="A100" s="401"/>
      <c r="B100" s="402"/>
      <c r="C100" s="390">
        <v>10</v>
      </c>
      <c r="D100" s="403"/>
      <c r="E100" s="486" t="s">
        <v>204</v>
      </c>
      <c r="F100" s="128"/>
      <c r="G100" s="367"/>
      <c r="H100" s="367"/>
      <c r="I100" s="367"/>
      <c r="J100" s="367"/>
      <c r="K100" s="367">
        <v>1000</v>
      </c>
      <c r="L100" s="456">
        <f t="shared" si="34"/>
        <v>1000</v>
      </c>
      <c r="M100" s="456">
        <f>1000-238+238+9014</f>
        <v>10014</v>
      </c>
      <c r="N100" s="456">
        <f>9756+238</f>
        <v>9994</v>
      </c>
      <c r="O100" s="871">
        <f>N100/M100</f>
        <v>0.99800279608548037</v>
      </c>
      <c r="P100" s="760" t="s">
        <v>286</v>
      </c>
    </row>
    <row r="101" spans="1:19" s="79" customFormat="1" ht="55.5" customHeight="1">
      <c r="A101" s="86">
        <v>3</v>
      </c>
      <c r="B101" s="85">
        <v>700</v>
      </c>
      <c r="C101" s="84"/>
      <c r="D101" s="83"/>
      <c r="E101" s="82" t="s">
        <v>130</v>
      </c>
      <c r="F101" s="81">
        <f t="shared" ref="F101:K101" si="35">F102+F135</f>
        <v>0</v>
      </c>
      <c r="G101" s="81">
        <f t="shared" si="35"/>
        <v>0</v>
      </c>
      <c r="H101" s="81">
        <f t="shared" si="35"/>
        <v>1121607</v>
      </c>
      <c r="I101" s="81">
        <f t="shared" si="35"/>
        <v>0</v>
      </c>
      <c r="J101" s="81">
        <f t="shared" si="35"/>
        <v>0</v>
      </c>
      <c r="K101" s="81">
        <f t="shared" si="35"/>
        <v>1452498</v>
      </c>
      <c r="L101" s="80">
        <f t="shared" ref="L101:L109" si="36">SUM(F101:K101)</f>
        <v>2574105</v>
      </c>
      <c r="M101" s="80">
        <f>M102+M135</f>
        <v>2574105</v>
      </c>
      <c r="N101" s="80">
        <f>N102+N135</f>
        <v>254053.35</v>
      </c>
      <c r="O101" s="867">
        <f>N101/M101</f>
        <v>9.8695799122413427E-2</v>
      </c>
      <c r="P101" s="760" t="s">
        <v>286</v>
      </c>
    </row>
    <row r="102" spans="1:19" s="67" customFormat="1" ht="55.5" customHeight="1">
      <c r="A102" s="634"/>
      <c r="B102" s="78">
        <v>70005</v>
      </c>
      <c r="C102" s="77"/>
      <c r="D102" s="76"/>
      <c r="E102" s="75" t="s">
        <v>129</v>
      </c>
      <c r="F102" s="95">
        <f t="shared" ref="F102:J102" si="37">F103+F107+F109+F111+F115+F119+F123+F127+F131+F133</f>
        <v>0</v>
      </c>
      <c r="G102" s="95">
        <f t="shared" si="37"/>
        <v>0</v>
      </c>
      <c r="H102" s="95">
        <f t="shared" si="37"/>
        <v>0</v>
      </c>
      <c r="I102" s="95">
        <f t="shared" si="37"/>
        <v>0</v>
      </c>
      <c r="J102" s="95">
        <f t="shared" si="37"/>
        <v>0</v>
      </c>
      <c r="K102" s="95">
        <f>K103+K107+K109+K111+K115+K119+K123+K127+K131+K133</f>
        <v>631830</v>
      </c>
      <c r="L102" s="95">
        <f>SUM(F102:K102)</f>
        <v>631830</v>
      </c>
      <c r="M102" s="95">
        <f>M103+M107+M109+M111+M115+M119+M123+M127+M131+M133</f>
        <v>631830</v>
      </c>
      <c r="N102" s="95">
        <f>N103+N107+N109+N111+N115+N119+N123+N127+N131+N133</f>
        <v>226438.25</v>
      </c>
      <c r="O102" s="868">
        <f>N102/M102</f>
        <v>0.3583847712201067</v>
      </c>
      <c r="P102" s="760" t="s">
        <v>286</v>
      </c>
    </row>
    <row r="103" spans="1:19" s="378" customFormat="1" ht="46.8" customHeight="1">
      <c r="A103" s="635"/>
      <c r="B103" s="296"/>
      <c r="C103" s="381">
        <v>1</v>
      </c>
      <c r="D103" s="268"/>
      <c r="E103" s="380" t="s">
        <v>875</v>
      </c>
      <c r="F103" s="494"/>
      <c r="G103" s="379"/>
      <c r="H103" s="379"/>
      <c r="I103" s="379"/>
      <c r="J103" s="379"/>
      <c r="K103" s="418">
        <v>330000</v>
      </c>
      <c r="L103" s="418">
        <f t="shared" si="36"/>
        <v>330000</v>
      </c>
      <c r="M103" s="418">
        <v>330000</v>
      </c>
      <c r="N103" s="418">
        <v>171495.1</v>
      </c>
      <c r="O103" s="876">
        <f>N103/M103</f>
        <v>0.51968212121212121</v>
      </c>
      <c r="P103" s="765" t="s">
        <v>286</v>
      </c>
    </row>
    <row r="104" spans="1:19" s="1033" customFormat="1" ht="70.2" customHeight="1">
      <c r="A104" s="1248"/>
      <c r="B104" s="1249"/>
      <c r="C104" s="1250"/>
      <c r="D104" s="416"/>
      <c r="E104" s="1262" t="s">
        <v>876</v>
      </c>
      <c r="F104" s="1262"/>
      <c r="G104" s="1262"/>
      <c r="H104" s="1262"/>
      <c r="I104" s="1262"/>
      <c r="J104" s="1262"/>
      <c r="K104" s="1262"/>
      <c r="L104" s="1262"/>
      <c r="M104" s="1262"/>
      <c r="N104" s="1262"/>
      <c r="O104" s="1263"/>
      <c r="P104" s="1252"/>
      <c r="Q104" s="1032"/>
      <c r="R104" s="1053"/>
    </row>
    <row r="105" spans="1:19" s="1033" customFormat="1" ht="84.6" customHeight="1">
      <c r="A105" s="1248"/>
      <c r="B105" s="1249"/>
      <c r="C105" s="1250"/>
      <c r="D105" s="416"/>
      <c r="E105" s="1262" t="s">
        <v>877</v>
      </c>
      <c r="F105" s="1262"/>
      <c r="G105" s="1262"/>
      <c r="H105" s="1262"/>
      <c r="I105" s="1262"/>
      <c r="J105" s="1262"/>
      <c r="K105" s="1262"/>
      <c r="L105" s="1262"/>
      <c r="M105" s="1262"/>
      <c r="N105" s="1262"/>
      <c r="O105" s="1263"/>
      <c r="P105" s="1251"/>
      <c r="Q105" s="1032"/>
      <c r="R105" s="1053"/>
    </row>
    <row r="106" spans="1:19" s="1033" customFormat="1" ht="55.8" customHeight="1">
      <c r="A106" s="1248"/>
      <c r="B106" s="1249"/>
      <c r="C106" s="1250"/>
      <c r="D106" s="416"/>
      <c r="E106" s="1264" t="s">
        <v>878</v>
      </c>
      <c r="F106" s="1264"/>
      <c r="G106" s="1264"/>
      <c r="H106" s="1264"/>
      <c r="I106" s="1264"/>
      <c r="J106" s="1264"/>
      <c r="K106" s="1264"/>
      <c r="L106" s="1264"/>
      <c r="M106" s="1264"/>
      <c r="N106" s="1264"/>
      <c r="O106" s="1265"/>
      <c r="P106" s="1251"/>
      <c r="Q106" s="1032"/>
      <c r="R106" s="1053"/>
    </row>
    <row r="107" spans="1:19" s="372" customFormat="1" ht="69" customHeight="1">
      <c r="A107" s="393"/>
      <c r="B107" s="117"/>
      <c r="C107" s="116">
        <v>2</v>
      </c>
      <c r="D107" s="375"/>
      <c r="E107" s="374" t="s">
        <v>174</v>
      </c>
      <c r="F107" s="495"/>
      <c r="G107" s="113"/>
      <c r="H107" s="113"/>
      <c r="I107" s="113"/>
      <c r="J107" s="113"/>
      <c r="K107" s="456">
        <v>148830</v>
      </c>
      <c r="L107" s="456">
        <f t="shared" si="36"/>
        <v>148830</v>
      </c>
      <c r="M107" s="456">
        <v>148830</v>
      </c>
      <c r="N107" s="456">
        <v>53422.2</v>
      </c>
      <c r="O107" s="871">
        <f>N107/M107</f>
        <v>0.35894779278371292</v>
      </c>
      <c r="P107" s="766" t="s">
        <v>286</v>
      </c>
    </row>
    <row r="108" spans="1:19" s="1033" customFormat="1" ht="64.2" customHeight="1">
      <c r="A108" s="1035"/>
      <c r="B108" s="710"/>
      <c r="C108" s="1055"/>
      <c r="D108" s="1056"/>
      <c r="E108" s="1264" t="s">
        <v>879</v>
      </c>
      <c r="F108" s="1264"/>
      <c r="G108" s="1264"/>
      <c r="H108" s="1264"/>
      <c r="I108" s="1264"/>
      <c r="J108" s="1264"/>
      <c r="K108" s="1264"/>
      <c r="L108" s="1264"/>
      <c r="M108" s="1264"/>
      <c r="N108" s="1264"/>
      <c r="O108" s="1265"/>
      <c r="P108" s="1052"/>
      <c r="Q108" s="1032"/>
      <c r="R108" s="1053"/>
    </row>
    <row r="109" spans="1:19" s="372" customFormat="1" ht="88.5" customHeight="1">
      <c r="A109" s="393"/>
      <c r="B109" s="117"/>
      <c r="C109" s="116">
        <v>3</v>
      </c>
      <c r="D109" s="375"/>
      <c r="E109" s="373" t="s">
        <v>419</v>
      </c>
      <c r="F109" s="495"/>
      <c r="G109" s="113"/>
      <c r="H109" s="113"/>
      <c r="I109" s="113"/>
      <c r="J109" s="113"/>
      <c r="K109" s="456">
        <v>2000</v>
      </c>
      <c r="L109" s="456">
        <f t="shared" si="36"/>
        <v>2000</v>
      </c>
      <c r="M109" s="456">
        <v>2000</v>
      </c>
      <c r="N109" s="456">
        <v>980.95</v>
      </c>
      <c r="O109" s="871">
        <f>N109/M109</f>
        <v>0.49047500000000005</v>
      </c>
      <c r="P109" s="766" t="s">
        <v>286</v>
      </c>
    </row>
    <row r="110" spans="1:19" s="1033" customFormat="1" ht="61.5" customHeight="1">
      <c r="A110" s="1035"/>
      <c r="B110" s="710"/>
      <c r="C110" s="1055"/>
      <c r="D110" s="1056"/>
      <c r="E110" s="1264" t="s">
        <v>880</v>
      </c>
      <c r="F110" s="1264"/>
      <c r="G110" s="1264"/>
      <c r="H110" s="1264"/>
      <c r="I110" s="1264"/>
      <c r="J110" s="1264"/>
      <c r="K110" s="1264"/>
      <c r="L110" s="1264"/>
      <c r="M110" s="1264"/>
      <c r="N110" s="1264"/>
      <c r="O110" s="1265"/>
      <c r="P110" s="1052"/>
      <c r="Q110" s="1032"/>
      <c r="R110" s="1053"/>
    </row>
    <row r="111" spans="1:19" s="372" customFormat="1" ht="53.25" customHeight="1">
      <c r="A111" s="393"/>
      <c r="B111" s="398"/>
      <c r="C111" s="390">
        <v>4</v>
      </c>
      <c r="D111" s="375"/>
      <c r="E111" s="373" t="s">
        <v>208</v>
      </c>
      <c r="F111" s="495"/>
      <c r="G111" s="113"/>
      <c r="H111" s="113"/>
      <c r="I111" s="113"/>
      <c r="J111" s="113"/>
      <c r="K111" s="457">
        <f>SUM(K113:K113)</f>
        <v>40000</v>
      </c>
      <c r="L111" s="457">
        <f>SUM(F111:K111)</f>
        <v>40000</v>
      </c>
      <c r="M111" s="457">
        <f>M113</f>
        <v>40000</v>
      </c>
      <c r="N111" s="457">
        <f>N113</f>
        <v>0</v>
      </c>
      <c r="O111" s="877">
        <v>0</v>
      </c>
      <c r="P111" s="766" t="s">
        <v>286</v>
      </c>
    </row>
    <row r="112" spans="1:19" s="376" customFormat="1" ht="33" customHeight="1">
      <c r="A112" s="396"/>
      <c r="B112" s="110"/>
      <c r="C112" s="23"/>
      <c r="D112" s="264"/>
      <c r="E112" s="422" t="s">
        <v>16</v>
      </c>
      <c r="F112" s="364"/>
      <c r="G112" s="107"/>
      <c r="H112" s="107"/>
      <c r="I112" s="107"/>
      <c r="J112" s="107"/>
      <c r="K112" s="92"/>
      <c r="L112" s="92"/>
      <c r="M112" s="92"/>
      <c r="N112" s="92"/>
      <c r="O112" s="869"/>
      <c r="P112" s="764"/>
    </row>
    <row r="113" spans="1:18" s="376" customFormat="1">
      <c r="A113" s="396"/>
      <c r="B113" s="397"/>
      <c r="C113" s="23"/>
      <c r="D113" s="464" t="s">
        <v>3</v>
      </c>
      <c r="E113" s="377" t="s">
        <v>324</v>
      </c>
      <c r="F113" s="519"/>
      <c r="G113" s="421"/>
      <c r="H113" s="421"/>
      <c r="I113" s="421"/>
      <c r="J113" s="421"/>
      <c r="K113" s="417">
        <v>40000</v>
      </c>
      <c r="L113" s="417">
        <f>K113</f>
        <v>40000</v>
      </c>
      <c r="M113" s="417">
        <f>L113</f>
        <v>40000</v>
      </c>
      <c r="N113" s="417">
        <v>0</v>
      </c>
      <c r="O113" s="878">
        <v>0</v>
      </c>
      <c r="P113" s="764"/>
    </row>
    <row r="114" spans="1:18" s="1033" customFormat="1">
      <c r="A114" s="1035"/>
      <c r="B114" s="710"/>
      <c r="C114" s="1055"/>
      <c r="D114" s="1056"/>
      <c r="E114" s="1264" t="s">
        <v>881</v>
      </c>
      <c r="F114" s="1264"/>
      <c r="G114" s="1264"/>
      <c r="H114" s="1264"/>
      <c r="I114" s="1264"/>
      <c r="J114" s="1264"/>
      <c r="K114" s="1264"/>
      <c r="L114" s="1264"/>
      <c r="M114" s="1264"/>
      <c r="N114" s="1264"/>
      <c r="O114" s="1265"/>
      <c r="P114" s="1052"/>
      <c r="Q114" s="1032"/>
      <c r="R114" s="1053"/>
    </row>
    <row r="115" spans="1:18" s="372" customFormat="1" ht="53.25" customHeight="1">
      <c r="A115" s="393"/>
      <c r="B115" s="398"/>
      <c r="C115" s="390">
        <v>5</v>
      </c>
      <c r="D115" s="375"/>
      <c r="E115" s="373" t="s">
        <v>190</v>
      </c>
      <c r="F115" s="495"/>
      <c r="G115" s="113"/>
      <c r="H115" s="113"/>
      <c r="I115" s="113"/>
      <c r="J115" s="113"/>
      <c r="K115" s="457">
        <f>K117</f>
        <v>1000</v>
      </c>
      <c r="L115" s="457">
        <f>SUM(F115:K115)</f>
        <v>1000</v>
      </c>
      <c r="M115" s="457">
        <f>M117</f>
        <v>1000</v>
      </c>
      <c r="N115" s="457">
        <f>N117</f>
        <v>540</v>
      </c>
      <c r="O115" s="877">
        <f>N115/M115</f>
        <v>0.54</v>
      </c>
      <c r="P115" s="766" t="s">
        <v>286</v>
      </c>
    </row>
    <row r="116" spans="1:18" s="376" customFormat="1" ht="33" customHeight="1">
      <c r="A116" s="396"/>
      <c r="B116" s="110"/>
      <c r="C116" s="23"/>
      <c r="D116" s="264"/>
      <c r="E116" s="422" t="s">
        <v>16</v>
      </c>
      <c r="F116" s="364"/>
      <c r="G116" s="107"/>
      <c r="H116" s="107"/>
      <c r="I116" s="107"/>
      <c r="J116" s="107"/>
      <c r="K116" s="92"/>
      <c r="L116" s="92"/>
      <c r="M116" s="92"/>
      <c r="N116" s="92"/>
      <c r="O116" s="869"/>
      <c r="P116" s="764"/>
    </row>
    <row r="117" spans="1:18" s="376" customFormat="1" ht="75" customHeight="1">
      <c r="A117" s="652"/>
      <c r="B117" s="657"/>
      <c r="C117" s="23"/>
      <c r="D117" s="464" t="s">
        <v>3</v>
      </c>
      <c r="E117" s="377" t="s">
        <v>373</v>
      </c>
      <c r="F117" s="731"/>
      <c r="G117" s="656"/>
      <c r="H117" s="656"/>
      <c r="I117" s="656"/>
      <c r="J117" s="656"/>
      <c r="K117" s="666">
        <v>1000</v>
      </c>
      <c r="L117" s="666">
        <f t="shared" ref="L117:L119" si="38">SUM(F117:K117)</f>
        <v>1000</v>
      </c>
      <c r="M117" s="666">
        <v>1000</v>
      </c>
      <c r="N117" s="666">
        <v>540</v>
      </c>
      <c r="O117" s="874">
        <f>N117/M117</f>
        <v>0.54</v>
      </c>
      <c r="P117" s="764" t="s">
        <v>286</v>
      </c>
    </row>
    <row r="118" spans="1:18" s="1033" customFormat="1" ht="61.5" customHeight="1">
      <c r="A118" s="1035"/>
      <c r="B118" s="710"/>
      <c r="C118" s="1055"/>
      <c r="D118" s="1056"/>
      <c r="E118" s="1264" t="s">
        <v>785</v>
      </c>
      <c r="F118" s="1264"/>
      <c r="G118" s="1264"/>
      <c r="H118" s="1264"/>
      <c r="I118" s="1264"/>
      <c r="J118" s="1264"/>
      <c r="K118" s="1264"/>
      <c r="L118" s="1264"/>
      <c r="M118" s="1264"/>
      <c r="N118" s="1264"/>
      <c r="O118" s="1265"/>
      <c r="P118" s="1052"/>
      <c r="Q118" s="1032"/>
      <c r="R118" s="1053"/>
    </row>
    <row r="119" spans="1:18" s="372" customFormat="1" ht="53.25" customHeight="1">
      <c r="A119" s="393"/>
      <c r="B119" s="398"/>
      <c r="C119" s="390">
        <v>6</v>
      </c>
      <c r="D119" s="375"/>
      <c r="E119" s="373" t="s">
        <v>262</v>
      </c>
      <c r="F119" s="495"/>
      <c r="G119" s="113"/>
      <c r="H119" s="113"/>
      <c r="I119" s="113"/>
      <c r="J119" s="113"/>
      <c r="K119" s="457">
        <f>SUM(K121:K121)</f>
        <v>1000</v>
      </c>
      <c r="L119" s="457">
        <f t="shared" si="38"/>
        <v>1000</v>
      </c>
      <c r="M119" s="457">
        <f>M121</f>
        <v>1000</v>
      </c>
      <c r="N119" s="457">
        <v>0</v>
      </c>
      <c r="O119" s="877">
        <v>0</v>
      </c>
      <c r="P119" s="766" t="s">
        <v>286</v>
      </c>
    </row>
    <row r="120" spans="1:18" s="376" customFormat="1" ht="33" customHeight="1">
      <c r="A120" s="396"/>
      <c r="B120" s="110"/>
      <c r="C120" s="23"/>
      <c r="D120" s="264"/>
      <c r="E120" s="422" t="s">
        <v>16</v>
      </c>
      <c r="F120" s="364"/>
      <c r="G120" s="107"/>
      <c r="H120" s="107"/>
      <c r="I120" s="107"/>
      <c r="J120" s="107"/>
      <c r="K120" s="92"/>
      <c r="L120" s="92"/>
      <c r="M120" s="92"/>
      <c r="N120" s="92"/>
      <c r="O120" s="869"/>
      <c r="P120" s="764"/>
    </row>
    <row r="121" spans="1:18" s="376" customFormat="1" ht="39.9" customHeight="1">
      <c r="A121" s="396"/>
      <c r="B121" s="397"/>
      <c r="C121" s="23"/>
      <c r="D121" s="464" t="s">
        <v>3</v>
      </c>
      <c r="E121" s="377" t="s">
        <v>325</v>
      </c>
      <c r="F121" s="519"/>
      <c r="G121" s="421"/>
      <c r="H121" s="421"/>
      <c r="I121" s="421"/>
      <c r="J121" s="421"/>
      <c r="K121" s="417">
        <v>1000</v>
      </c>
      <c r="L121" s="417">
        <f>K121</f>
        <v>1000</v>
      </c>
      <c r="M121" s="417">
        <f>L121</f>
        <v>1000</v>
      </c>
      <c r="N121" s="417">
        <v>0</v>
      </c>
      <c r="O121" s="878">
        <v>0</v>
      </c>
      <c r="P121" s="764" t="s">
        <v>286</v>
      </c>
    </row>
    <row r="122" spans="1:18" s="1033" customFormat="1" ht="61.5" customHeight="1">
      <c r="A122" s="1035"/>
      <c r="B122" s="710"/>
      <c r="C122" s="1055"/>
      <c r="D122" s="1056"/>
      <c r="E122" s="1264" t="s">
        <v>882</v>
      </c>
      <c r="F122" s="1264"/>
      <c r="G122" s="1264"/>
      <c r="H122" s="1264"/>
      <c r="I122" s="1264"/>
      <c r="J122" s="1264"/>
      <c r="K122" s="1264"/>
      <c r="L122" s="1264"/>
      <c r="M122" s="1264"/>
      <c r="N122" s="1264"/>
      <c r="O122" s="1265"/>
      <c r="P122" s="1052"/>
      <c r="Q122" s="1032"/>
      <c r="R122" s="1053"/>
    </row>
    <row r="123" spans="1:18" s="372" customFormat="1" ht="53.25" customHeight="1">
      <c r="A123" s="393"/>
      <c r="B123" s="398"/>
      <c r="C123" s="390">
        <v>7</v>
      </c>
      <c r="D123" s="375"/>
      <c r="E123" s="373" t="s">
        <v>209</v>
      </c>
      <c r="F123" s="495"/>
      <c r="G123" s="113"/>
      <c r="H123" s="113"/>
      <c r="I123" s="113"/>
      <c r="J123" s="113"/>
      <c r="K123" s="457">
        <f>SUM(K125:K125)</f>
        <v>17000</v>
      </c>
      <c r="L123" s="457">
        <f>SUM(F123:K123)</f>
        <v>17000</v>
      </c>
      <c r="M123" s="457">
        <f>M125</f>
        <v>17000</v>
      </c>
      <c r="N123" s="457">
        <v>0</v>
      </c>
      <c r="O123" s="877">
        <v>0</v>
      </c>
      <c r="P123" s="766" t="s">
        <v>286</v>
      </c>
    </row>
    <row r="124" spans="1:18" s="376" customFormat="1" ht="33" customHeight="1">
      <c r="A124" s="396"/>
      <c r="B124" s="110"/>
      <c r="C124" s="23"/>
      <c r="D124" s="264"/>
      <c r="E124" s="422" t="s">
        <v>16</v>
      </c>
      <c r="F124" s="364"/>
      <c r="G124" s="107"/>
      <c r="H124" s="107"/>
      <c r="I124" s="107"/>
      <c r="J124" s="107"/>
      <c r="K124" s="92"/>
      <c r="L124" s="92"/>
      <c r="M124" s="92"/>
      <c r="N124" s="92"/>
      <c r="O124" s="869"/>
      <c r="P124" s="764"/>
    </row>
    <row r="125" spans="1:18" s="376" customFormat="1" ht="40.200000000000003" customHeight="1">
      <c r="A125" s="396"/>
      <c r="B125" s="397"/>
      <c r="C125" s="23"/>
      <c r="D125" s="464" t="s">
        <v>3</v>
      </c>
      <c r="E125" s="377" t="s">
        <v>358</v>
      </c>
      <c r="F125" s="519"/>
      <c r="G125" s="421"/>
      <c r="H125" s="421"/>
      <c r="I125" s="421"/>
      <c r="J125" s="421"/>
      <c r="K125" s="417">
        <v>17000</v>
      </c>
      <c r="L125" s="417">
        <f>K125</f>
        <v>17000</v>
      </c>
      <c r="M125" s="417">
        <f>L125</f>
        <v>17000</v>
      </c>
      <c r="N125" s="417">
        <v>0</v>
      </c>
      <c r="O125" s="878">
        <v>0</v>
      </c>
      <c r="P125" s="764" t="s">
        <v>286</v>
      </c>
    </row>
    <row r="126" spans="1:18" s="1033" customFormat="1" ht="42.6" customHeight="1">
      <c r="A126" s="1035"/>
      <c r="B126" s="710"/>
      <c r="C126" s="1055"/>
      <c r="D126" s="1056"/>
      <c r="E126" s="1264" t="s">
        <v>882</v>
      </c>
      <c r="F126" s="1264"/>
      <c r="G126" s="1264"/>
      <c r="H126" s="1264"/>
      <c r="I126" s="1264"/>
      <c r="J126" s="1264"/>
      <c r="K126" s="1264"/>
      <c r="L126" s="1264"/>
      <c r="M126" s="1264"/>
      <c r="N126" s="1264"/>
      <c r="O126" s="1265"/>
      <c r="P126" s="1052"/>
      <c r="Q126" s="1032"/>
      <c r="R126" s="1053"/>
    </row>
    <row r="127" spans="1:18" s="372" customFormat="1" ht="53.25" customHeight="1">
      <c r="A127" s="393"/>
      <c r="B127" s="398"/>
      <c r="C127" s="390">
        <v>8</v>
      </c>
      <c r="D127" s="375"/>
      <c r="E127" s="373" t="s">
        <v>326</v>
      </c>
      <c r="F127" s="495"/>
      <c r="G127" s="113"/>
      <c r="H127" s="113"/>
      <c r="I127" s="113"/>
      <c r="J127" s="113"/>
      <c r="K127" s="457">
        <f>K129</f>
        <v>2000</v>
      </c>
      <c r="L127" s="457">
        <f>SUM(F127:K127)</f>
        <v>2000</v>
      </c>
      <c r="M127" s="457">
        <f>M129</f>
        <v>2000</v>
      </c>
      <c r="N127" s="457">
        <v>0</v>
      </c>
      <c r="O127" s="877">
        <v>0</v>
      </c>
      <c r="P127" s="766" t="s">
        <v>286</v>
      </c>
    </row>
    <row r="128" spans="1:18" s="376" customFormat="1" ht="33" customHeight="1">
      <c r="A128" s="396"/>
      <c r="B128" s="110"/>
      <c r="C128" s="23"/>
      <c r="D128" s="264"/>
      <c r="E128" s="422" t="s">
        <v>16</v>
      </c>
      <c r="F128" s="364"/>
      <c r="G128" s="107"/>
      <c r="H128" s="107"/>
      <c r="I128" s="107"/>
      <c r="J128" s="107"/>
      <c r="K128" s="92"/>
      <c r="L128" s="92"/>
      <c r="M128" s="92"/>
      <c r="N128" s="92"/>
      <c r="O128" s="869"/>
      <c r="P128" s="764"/>
    </row>
    <row r="129" spans="1:227" s="376" customFormat="1" ht="39.9" customHeight="1">
      <c r="A129" s="396"/>
      <c r="B129" s="397"/>
      <c r="C129" s="23"/>
      <c r="D129" s="464" t="s">
        <v>3</v>
      </c>
      <c r="E129" s="377" t="s">
        <v>327</v>
      </c>
      <c r="F129" s="519"/>
      <c r="G129" s="421"/>
      <c r="H129" s="421"/>
      <c r="I129" s="421"/>
      <c r="J129" s="421"/>
      <c r="K129" s="417">
        <v>2000</v>
      </c>
      <c r="L129" s="417">
        <f>K129</f>
        <v>2000</v>
      </c>
      <c r="M129" s="417">
        <f>L129</f>
        <v>2000</v>
      </c>
      <c r="N129" s="417">
        <v>0</v>
      </c>
      <c r="O129" s="878">
        <v>0</v>
      </c>
      <c r="P129" s="764" t="s">
        <v>286</v>
      </c>
    </row>
    <row r="130" spans="1:227" s="1033" customFormat="1" ht="61.5" customHeight="1">
      <c r="A130" s="1035"/>
      <c r="B130" s="710"/>
      <c r="C130" s="1055"/>
      <c r="D130" s="1056"/>
      <c r="E130" s="1264" t="s">
        <v>882</v>
      </c>
      <c r="F130" s="1264"/>
      <c r="G130" s="1264"/>
      <c r="H130" s="1264"/>
      <c r="I130" s="1264"/>
      <c r="J130" s="1264"/>
      <c r="K130" s="1264"/>
      <c r="L130" s="1264"/>
      <c r="M130" s="1264"/>
      <c r="N130" s="1264"/>
      <c r="O130" s="1265"/>
      <c r="P130" s="1052"/>
      <c r="Q130" s="1032"/>
      <c r="R130" s="1053"/>
    </row>
    <row r="131" spans="1:227" s="67" customFormat="1" ht="49.8" customHeight="1">
      <c r="A131" s="394"/>
      <c r="B131" s="402"/>
      <c r="C131" s="1193">
        <v>9</v>
      </c>
      <c r="D131" s="697"/>
      <c r="E131" s="602" t="s">
        <v>175</v>
      </c>
      <c r="F131" s="564"/>
      <c r="G131" s="563"/>
      <c r="H131" s="563"/>
      <c r="I131" s="563"/>
      <c r="J131" s="563"/>
      <c r="K131" s="563">
        <v>80000</v>
      </c>
      <c r="L131" s="563">
        <f t="shared" ref="L131:L148" si="39">SUM(F131:K131)</f>
        <v>80000</v>
      </c>
      <c r="M131" s="563">
        <v>80000</v>
      </c>
      <c r="N131" s="563">
        <v>0</v>
      </c>
      <c r="O131" s="872">
        <v>0</v>
      </c>
      <c r="P131" s="760" t="s">
        <v>286</v>
      </c>
    </row>
    <row r="132" spans="1:227" s="1033" customFormat="1" ht="45.6" customHeight="1">
      <c r="A132" s="1035"/>
      <c r="B132" s="710"/>
      <c r="C132" s="1055"/>
      <c r="D132" s="1056"/>
      <c r="E132" s="1264" t="s">
        <v>883</v>
      </c>
      <c r="F132" s="1264"/>
      <c r="G132" s="1264"/>
      <c r="H132" s="1264"/>
      <c r="I132" s="1264"/>
      <c r="J132" s="1264"/>
      <c r="K132" s="1264"/>
      <c r="L132" s="1264"/>
      <c r="M132" s="1264"/>
      <c r="N132" s="1264"/>
      <c r="O132" s="1265"/>
      <c r="P132" s="1052"/>
      <c r="Q132" s="1032"/>
      <c r="R132" s="1053"/>
    </row>
    <row r="133" spans="1:227" s="67" customFormat="1" ht="49.8" customHeight="1">
      <c r="A133" s="394"/>
      <c r="B133" s="402"/>
      <c r="C133" s="1253">
        <v>10</v>
      </c>
      <c r="D133" s="1254"/>
      <c r="E133" s="602" t="s">
        <v>339</v>
      </c>
      <c r="F133" s="564"/>
      <c r="G133" s="563"/>
      <c r="H133" s="563"/>
      <c r="I133" s="563"/>
      <c r="J133" s="563"/>
      <c r="K133" s="563">
        <v>10000</v>
      </c>
      <c r="L133" s="563">
        <f t="shared" ref="L133" si="40">SUM(F133:K133)</f>
        <v>10000</v>
      </c>
      <c r="M133" s="563">
        <v>10000</v>
      </c>
      <c r="N133" s="563">
        <v>0</v>
      </c>
      <c r="O133" s="872">
        <v>0</v>
      </c>
      <c r="P133" s="760" t="s">
        <v>286</v>
      </c>
    </row>
    <row r="134" spans="1:227" s="1033" customFormat="1" ht="61.5" customHeight="1">
      <c r="A134" s="1035"/>
      <c r="B134" s="710"/>
      <c r="C134" s="1055"/>
      <c r="D134" s="1056"/>
      <c r="E134" s="1264" t="s">
        <v>882</v>
      </c>
      <c r="F134" s="1264"/>
      <c r="G134" s="1264"/>
      <c r="H134" s="1264"/>
      <c r="I134" s="1264"/>
      <c r="J134" s="1264"/>
      <c r="K134" s="1264"/>
      <c r="L134" s="1264"/>
      <c r="M134" s="1264"/>
      <c r="N134" s="1264"/>
      <c r="O134" s="1265"/>
      <c r="P134" s="1052"/>
      <c r="Q134" s="1032"/>
      <c r="R134" s="1053"/>
    </row>
    <row r="135" spans="1:227" s="370" customFormat="1" ht="60" customHeight="1">
      <c r="A135" s="573"/>
      <c r="B135" s="78">
        <v>70095</v>
      </c>
      <c r="C135" s="77"/>
      <c r="D135" s="76"/>
      <c r="E135" s="75" t="s">
        <v>8</v>
      </c>
      <c r="F135" s="414">
        <f t="shared" ref="F135:K135" si="41">SUM(F136:F140)</f>
        <v>0</v>
      </c>
      <c r="G135" s="414">
        <f t="shared" si="41"/>
        <v>0</v>
      </c>
      <c r="H135" s="414">
        <f t="shared" si="41"/>
        <v>1121607</v>
      </c>
      <c r="I135" s="414">
        <f t="shared" si="41"/>
        <v>0</v>
      </c>
      <c r="J135" s="414">
        <f t="shared" si="41"/>
        <v>0</v>
      </c>
      <c r="K135" s="414">
        <f t="shared" si="41"/>
        <v>820668</v>
      </c>
      <c r="L135" s="95">
        <f t="shared" si="39"/>
        <v>1942275</v>
      </c>
      <c r="M135" s="95">
        <f>M136+M138+M140+M142</f>
        <v>1942275</v>
      </c>
      <c r="N135" s="95">
        <f>N136+N138+N140+N142</f>
        <v>27615.1</v>
      </c>
      <c r="O135" s="868">
        <f>N135/M135</f>
        <v>1.4217914558957922E-2</v>
      </c>
      <c r="P135" s="762" t="s">
        <v>286</v>
      </c>
      <c r="Q135" s="97"/>
      <c r="R135" s="97"/>
      <c r="S135" s="97"/>
      <c r="T135" s="97"/>
      <c r="U135" s="97"/>
      <c r="V135" s="97"/>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c r="BB135" s="97"/>
      <c r="BC135" s="97"/>
      <c r="BD135" s="97"/>
      <c r="BE135" s="97"/>
      <c r="BF135" s="97"/>
      <c r="BG135" s="97"/>
      <c r="BH135" s="97"/>
      <c r="BI135" s="97"/>
      <c r="BJ135" s="97"/>
      <c r="BK135" s="97"/>
      <c r="BL135" s="97"/>
      <c r="BM135" s="97"/>
      <c r="BN135" s="97"/>
      <c r="BO135" s="97"/>
      <c r="BP135" s="97"/>
      <c r="BQ135" s="97"/>
      <c r="BR135" s="97"/>
      <c r="BS135" s="97"/>
      <c r="BT135" s="97"/>
      <c r="BU135" s="97"/>
      <c r="BV135" s="97"/>
      <c r="BW135" s="97"/>
      <c r="BX135" s="97"/>
      <c r="BY135" s="97"/>
      <c r="BZ135" s="97"/>
      <c r="CA135" s="97"/>
      <c r="CB135" s="97"/>
      <c r="CC135" s="97"/>
      <c r="CD135" s="97"/>
      <c r="CE135" s="97"/>
      <c r="CF135" s="97"/>
      <c r="CG135" s="97"/>
      <c r="CH135" s="97"/>
      <c r="CI135" s="97"/>
      <c r="CJ135" s="97"/>
      <c r="CK135" s="97"/>
      <c r="CL135" s="97"/>
      <c r="CM135" s="97"/>
      <c r="CN135" s="97"/>
      <c r="CO135" s="97"/>
      <c r="CP135" s="97"/>
      <c r="CQ135" s="97"/>
      <c r="CR135" s="97"/>
      <c r="CS135" s="97"/>
      <c r="CT135" s="97"/>
      <c r="CU135" s="97"/>
      <c r="CV135" s="97"/>
      <c r="CW135" s="97"/>
      <c r="CX135" s="97"/>
      <c r="CY135" s="97"/>
      <c r="CZ135" s="97"/>
      <c r="DA135" s="97"/>
      <c r="DB135" s="97"/>
      <c r="DC135" s="97"/>
      <c r="DD135" s="97"/>
      <c r="DE135" s="97"/>
      <c r="DF135" s="97"/>
      <c r="DG135" s="97"/>
      <c r="DH135" s="97"/>
      <c r="DI135" s="97"/>
      <c r="DJ135" s="97"/>
      <c r="DK135" s="97"/>
      <c r="DL135" s="97"/>
      <c r="DM135" s="97"/>
      <c r="DN135" s="97"/>
      <c r="DO135" s="97"/>
      <c r="DP135" s="97"/>
      <c r="DQ135" s="97"/>
      <c r="DR135" s="97"/>
      <c r="DS135" s="97"/>
      <c r="DT135" s="97"/>
      <c r="DU135" s="97"/>
      <c r="DV135" s="97"/>
      <c r="DW135" s="97"/>
      <c r="DX135" s="97"/>
      <c r="DY135" s="97"/>
      <c r="DZ135" s="97"/>
      <c r="EA135" s="97"/>
      <c r="EB135" s="97"/>
      <c r="EC135" s="97"/>
      <c r="ED135" s="97"/>
      <c r="EE135" s="97"/>
      <c r="EF135" s="97"/>
      <c r="EG135" s="97"/>
      <c r="EH135" s="97"/>
      <c r="EI135" s="97"/>
      <c r="EJ135" s="97"/>
      <c r="EK135" s="97"/>
      <c r="EL135" s="97"/>
      <c r="EM135" s="97"/>
      <c r="EN135" s="97"/>
      <c r="EO135" s="97"/>
      <c r="EP135" s="97"/>
      <c r="EQ135" s="97"/>
      <c r="ER135" s="97"/>
      <c r="ES135" s="97"/>
      <c r="ET135" s="97"/>
      <c r="EU135" s="97"/>
      <c r="EV135" s="97"/>
      <c r="EW135" s="97"/>
      <c r="EX135" s="97"/>
      <c r="EY135" s="97"/>
      <c r="EZ135" s="97"/>
      <c r="FA135" s="97"/>
      <c r="FB135" s="97"/>
      <c r="FC135" s="97"/>
      <c r="FD135" s="97"/>
      <c r="FE135" s="97"/>
      <c r="FF135" s="97"/>
      <c r="FG135" s="97"/>
      <c r="FH135" s="97"/>
      <c r="FI135" s="97"/>
      <c r="FJ135" s="97"/>
      <c r="FK135" s="97"/>
      <c r="FL135" s="97"/>
      <c r="FM135" s="97"/>
      <c r="FN135" s="97"/>
      <c r="FO135" s="97"/>
      <c r="FP135" s="97"/>
      <c r="FQ135" s="97"/>
      <c r="FR135" s="97"/>
      <c r="FS135" s="97"/>
      <c r="FT135" s="97"/>
      <c r="FU135" s="97"/>
      <c r="FV135" s="97"/>
      <c r="FW135" s="97"/>
      <c r="FX135" s="97"/>
      <c r="FY135" s="97"/>
      <c r="FZ135" s="97"/>
      <c r="GA135" s="97"/>
      <c r="GB135" s="97"/>
      <c r="GC135" s="97"/>
      <c r="GD135" s="97"/>
      <c r="GE135" s="97"/>
      <c r="GF135" s="97"/>
      <c r="GG135" s="97"/>
      <c r="GH135" s="97"/>
      <c r="GI135" s="97"/>
      <c r="GJ135" s="97"/>
      <c r="GK135" s="97"/>
      <c r="GL135" s="97"/>
      <c r="GM135" s="97"/>
      <c r="GN135" s="97"/>
      <c r="GO135" s="97"/>
      <c r="GP135" s="97"/>
      <c r="GQ135" s="97"/>
      <c r="GR135" s="97"/>
      <c r="GS135" s="97"/>
      <c r="GT135" s="97"/>
      <c r="GU135" s="97"/>
      <c r="GV135" s="97"/>
      <c r="GW135" s="97"/>
      <c r="GX135" s="97"/>
      <c r="GY135" s="97"/>
      <c r="GZ135" s="97"/>
      <c r="HA135" s="97"/>
      <c r="HB135" s="97"/>
      <c r="HC135" s="97"/>
      <c r="HD135" s="97"/>
      <c r="HE135" s="97"/>
      <c r="HF135" s="97"/>
      <c r="HG135" s="97"/>
      <c r="HH135" s="97"/>
      <c r="HI135" s="97"/>
      <c r="HJ135" s="97"/>
      <c r="HK135" s="97"/>
      <c r="HL135" s="97"/>
      <c r="HM135" s="97"/>
      <c r="HN135" s="97"/>
      <c r="HO135" s="97"/>
      <c r="HP135" s="97"/>
      <c r="HQ135" s="97"/>
      <c r="HR135" s="97"/>
      <c r="HS135" s="371"/>
    </row>
    <row r="136" spans="1:227" s="67" customFormat="1" ht="91.2" customHeight="1">
      <c r="A136" s="650"/>
      <c r="B136" s="651"/>
      <c r="C136" s="793">
        <v>1</v>
      </c>
      <c r="D136" s="1057"/>
      <c r="E136" s="840" t="s">
        <v>657</v>
      </c>
      <c r="F136" s="588"/>
      <c r="G136" s="596"/>
      <c r="H136" s="596">
        <v>1121607</v>
      </c>
      <c r="I136" s="596"/>
      <c r="J136" s="596"/>
      <c r="K136" s="563">
        <v>730668</v>
      </c>
      <c r="L136" s="563">
        <f t="shared" si="39"/>
        <v>1852275</v>
      </c>
      <c r="M136" s="563">
        <v>0</v>
      </c>
      <c r="N136" s="563">
        <v>0</v>
      </c>
      <c r="O136" s="872">
        <v>0</v>
      </c>
      <c r="P136" s="760" t="s">
        <v>286</v>
      </c>
    </row>
    <row r="137" spans="1:227" s="1033" customFormat="1" ht="39" customHeight="1">
      <c r="A137" s="1035"/>
      <c r="B137" s="710"/>
      <c r="C137" s="1055"/>
      <c r="D137" s="1056"/>
      <c r="E137" s="1264" t="s">
        <v>656</v>
      </c>
      <c r="F137" s="1264"/>
      <c r="G137" s="1264"/>
      <c r="H137" s="1264"/>
      <c r="I137" s="1264"/>
      <c r="J137" s="1264"/>
      <c r="K137" s="1264"/>
      <c r="L137" s="1264"/>
      <c r="M137" s="1264"/>
      <c r="N137" s="1264"/>
      <c r="O137" s="1265"/>
      <c r="P137" s="1052"/>
      <c r="Q137" s="1032"/>
      <c r="R137" s="1053"/>
    </row>
    <row r="138" spans="1:227" s="67" customFormat="1" ht="73.5" customHeight="1">
      <c r="A138" s="650"/>
      <c r="B138" s="651"/>
      <c r="C138" s="594">
        <v>2</v>
      </c>
      <c r="D138" s="603"/>
      <c r="E138" s="840" t="s">
        <v>176</v>
      </c>
      <c r="F138" s="588"/>
      <c r="G138" s="596"/>
      <c r="H138" s="596"/>
      <c r="I138" s="596"/>
      <c r="J138" s="596"/>
      <c r="K138" s="563">
        <v>10000</v>
      </c>
      <c r="L138" s="563">
        <f>SUM(F138:K138)</f>
        <v>10000</v>
      </c>
      <c r="M138" s="563">
        <v>10000</v>
      </c>
      <c r="N138" s="563">
        <v>72.099999999999994</v>
      </c>
      <c r="O138" s="872">
        <f>N138/M138</f>
        <v>7.2099999999999994E-3</v>
      </c>
      <c r="P138" s="760" t="s">
        <v>286</v>
      </c>
    </row>
    <row r="139" spans="1:227" s="1033" customFormat="1" ht="57.75" customHeight="1">
      <c r="A139" s="1035"/>
      <c r="B139" s="710"/>
      <c r="C139" s="1055"/>
      <c r="D139" s="1056"/>
      <c r="E139" s="1264" t="s">
        <v>786</v>
      </c>
      <c r="F139" s="1264"/>
      <c r="G139" s="1264"/>
      <c r="H139" s="1264"/>
      <c r="I139" s="1264"/>
      <c r="J139" s="1264"/>
      <c r="K139" s="1264"/>
      <c r="L139" s="1264"/>
      <c r="M139" s="1264"/>
      <c r="N139" s="1264"/>
      <c r="O139" s="1265"/>
      <c r="P139" s="1052"/>
      <c r="Q139" s="1032"/>
      <c r="R139" s="1053"/>
    </row>
    <row r="140" spans="1:227" s="67" customFormat="1" ht="73.5" customHeight="1">
      <c r="A140" s="650"/>
      <c r="B140" s="651"/>
      <c r="C140" s="594">
        <v>3</v>
      </c>
      <c r="D140" s="603"/>
      <c r="E140" s="840" t="s">
        <v>177</v>
      </c>
      <c r="F140" s="588"/>
      <c r="G140" s="596"/>
      <c r="H140" s="596"/>
      <c r="I140" s="596"/>
      <c r="J140" s="596"/>
      <c r="K140" s="563">
        <v>80000</v>
      </c>
      <c r="L140" s="563">
        <f t="shared" si="39"/>
        <v>80000</v>
      </c>
      <c r="M140" s="563">
        <v>80000</v>
      </c>
      <c r="N140" s="563">
        <v>20000</v>
      </c>
      <c r="O140" s="872">
        <f>N140/M140</f>
        <v>0.25</v>
      </c>
      <c r="P140" s="760" t="s">
        <v>286</v>
      </c>
    </row>
    <row r="141" spans="1:227" s="1033" customFormat="1" ht="88.2" customHeight="1">
      <c r="A141" s="1035"/>
      <c r="B141" s="710"/>
      <c r="C141" s="1055"/>
      <c r="D141" s="1056"/>
      <c r="E141" s="1264" t="s">
        <v>884</v>
      </c>
      <c r="F141" s="1264"/>
      <c r="G141" s="1264"/>
      <c r="H141" s="1264"/>
      <c r="I141" s="1264"/>
      <c r="J141" s="1264"/>
      <c r="K141" s="1264"/>
      <c r="L141" s="1264"/>
      <c r="M141" s="1264"/>
      <c r="N141" s="1264"/>
      <c r="O141" s="1265"/>
      <c r="P141" s="1052"/>
      <c r="Q141" s="1032"/>
      <c r="R141" s="1053"/>
    </row>
    <row r="142" spans="1:227" s="67" customFormat="1" ht="91.2" customHeight="1">
      <c r="A142" s="650"/>
      <c r="B142" s="651"/>
      <c r="C142" s="793">
        <v>4</v>
      </c>
      <c r="D142" s="1057"/>
      <c r="E142" s="840" t="s">
        <v>658</v>
      </c>
      <c r="F142" s="588"/>
      <c r="G142" s="596"/>
      <c r="H142" s="596">
        <v>1121607</v>
      </c>
      <c r="I142" s="596"/>
      <c r="J142" s="596"/>
      <c r="K142" s="563">
        <v>730668</v>
      </c>
      <c r="L142" s="563">
        <v>0</v>
      </c>
      <c r="M142" s="563">
        <f>375869+1121607+354799</f>
        <v>1852275</v>
      </c>
      <c r="N142" s="563">
        <v>7543</v>
      </c>
      <c r="O142" s="872">
        <v>0</v>
      </c>
      <c r="P142" s="760" t="s">
        <v>286</v>
      </c>
    </row>
    <row r="143" spans="1:227" s="1033" customFormat="1" ht="57.75" customHeight="1">
      <c r="A143" s="1035"/>
      <c r="B143" s="710"/>
      <c r="C143" s="1055"/>
      <c r="D143" s="1056"/>
      <c r="E143" s="1264" t="s">
        <v>659</v>
      </c>
      <c r="F143" s="1264"/>
      <c r="G143" s="1264"/>
      <c r="H143" s="1264"/>
      <c r="I143" s="1264"/>
      <c r="J143" s="1264"/>
      <c r="K143" s="1264"/>
      <c r="L143" s="1264"/>
      <c r="M143" s="1264"/>
      <c r="N143" s="1264"/>
      <c r="O143" s="1265"/>
      <c r="P143" s="1052"/>
      <c r="Q143" s="1032"/>
      <c r="R143" s="1053"/>
    </row>
    <row r="144" spans="1:227" s="79" customFormat="1" ht="61.5" customHeight="1">
      <c r="A144" s="86">
        <v>4</v>
      </c>
      <c r="B144" s="85">
        <v>710</v>
      </c>
      <c r="C144" s="84"/>
      <c r="D144" s="83"/>
      <c r="E144" s="82" t="s">
        <v>128</v>
      </c>
      <c r="F144" s="81">
        <f t="shared" ref="F144:K144" si="42">F145+F159+F154</f>
        <v>0</v>
      </c>
      <c r="G144" s="81">
        <f t="shared" si="42"/>
        <v>0</v>
      </c>
      <c r="H144" s="81">
        <f t="shared" si="42"/>
        <v>0</v>
      </c>
      <c r="I144" s="81">
        <f t="shared" si="42"/>
        <v>0</v>
      </c>
      <c r="J144" s="81">
        <f t="shared" si="42"/>
        <v>0</v>
      </c>
      <c r="K144" s="81">
        <f t="shared" si="42"/>
        <v>364000</v>
      </c>
      <c r="L144" s="80">
        <f t="shared" si="39"/>
        <v>364000</v>
      </c>
      <c r="M144" s="80">
        <f>M145+M154+M159</f>
        <v>334480</v>
      </c>
      <c r="N144" s="80">
        <f>N145+N154+N159</f>
        <v>105379.87</v>
      </c>
      <c r="O144" s="867">
        <f>N144/M144</f>
        <v>0.3150558179861277</v>
      </c>
      <c r="P144" s="760" t="s">
        <v>286</v>
      </c>
    </row>
    <row r="145" spans="1:18" s="67" customFormat="1" ht="61.5" customHeight="1">
      <c r="A145" s="369"/>
      <c r="B145" s="78">
        <v>71004</v>
      </c>
      <c r="C145" s="77"/>
      <c r="D145" s="76"/>
      <c r="E145" s="75" t="s">
        <v>127</v>
      </c>
      <c r="F145" s="414">
        <f t="shared" ref="F145:J145" si="43">SUM(F146:F148)</f>
        <v>0</v>
      </c>
      <c r="G145" s="414">
        <f t="shared" si="43"/>
        <v>0</v>
      </c>
      <c r="H145" s="414">
        <f t="shared" si="43"/>
        <v>0</v>
      </c>
      <c r="I145" s="414">
        <f t="shared" si="43"/>
        <v>0</v>
      </c>
      <c r="J145" s="414">
        <f t="shared" si="43"/>
        <v>0</v>
      </c>
      <c r="K145" s="414">
        <f>K146+K148+K150</f>
        <v>92000</v>
      </c>
      <c r="L145" s="95">
        <f>SUM(F145:K145)</f>
        <v>92000</v>
      </c>
      <c r="M145" s="95">
        <f>M146+M148+M150+M152</f>
        <v>65170</v>
      </c>
      <c r="N145" s="95">
        <f>N146+N148+N150+N152</f>
        <v>8690</v>
      </c>
      <c r="O145" s="868">
        <f>N145/M145</f>
        <v>0.13334356298910541</v>
      </c>
      <c r="P145" s="760" t="s">
        <v>286</v>
      </c>
    </row>
    <row r="146" spans="1:18" s="67" customFormat="1" ht="78" customHeight="1">
      <c r="A146" s="394"/>
      <c r="B146" s="395"/>
      <c r="C146" s="390">
        <v>1</v>
      </c>
      <c r="D146" s="136"/>
      <c r="E146" s="368" t="s">
        <v>787</v>
      </c>
      <c r="F146" s="128"/>
      <c r="G146" s="367"/>
      <c r="H146" s="367"/>
      <c r="I146" s="367"/>
      <c r="J146" s="367"/>
      <c r="K146" s="456">
        <v>80000</v>
      </c>
      <c r="L146" s="456">
        <f t="shared" si="39"/>
        <v>80000</v>
      </c>
      <c r="M146" s="456">
        <v>50480</v>
      </c>
      <c r="N146" s="456">
        <v>0</v>
      </c>
      <c r="O146" s="871">
        <v>0</v>
      </c>
      <c r="P146" s="760" t="s">
        <v>286</v>
      </c>
    </row>
    <row r="147" spans="1:18" s="1033" customFormat="1" ht="81" customHeight="1">
      <c r="A147" s="1035"/>
      <c r="B147" s="710"/>
      <c r="C147" s="1055"/>
      <c r="D147" s="1056"/>
      <c r="E147" s="1264" t="s">
        <v>885</v>
      </c>
      <c r="F147" s="1264"/>
      <c r="G147" s="1264"/>
      <c r="H147" s="1264"/>
      <c r="I147" s="1264"/>
      <c r="J147" s="1264"/>
      <c r="K147" s="1264"/>
      <c r="L147" s="1264"/>
      <c r="M147" s="1264"/>
      <c r="N147" s="1264"/>
      <c r="O147" s="1265"/>
      <c r="P147" s="1052"/>
      <c r="Q147" s="1032"/>
      <c r="R147" s="1053"/>
    </row>
    <row r="148" spans="1:18" s="67" customFormat="1" ht="46.2" customHeight="1">
      <c r="A148" s="394"/>
      <c r="B148" s="129"/>
      <c r="C148" s="390">
        <v>2</v>
      </c>
      <c r="D148" s="136"/>
      <c r="E148" s="368" t="s">
        <v>153</v>
      </c>
      <c r="F148" s="128"/>
      <c r="G148" s="367"/>
      <c r="H148" s="367"/>
      <c r="I148" s="367"/>
      <c r="J148" s="367"/>
      <c r="K148" s="456">
        <v>2000</v>
      </c>
      <c r="L148" s="456">
        <f t="shared" si="39"/>
        <v>2000</v>
      </c>
      <c r="M148" s="456">
        <v>2000</v>
      </c>
      <c r="N148" s="456">
        <v>0</v>
      </c>
      <c r="O148" s="871">
        <v>0</v>
      </c>
      <c r="P148" s="760" t="s">
        <v>286</v>
      </c>
    </row>
    <row r="149" spans="1:18" s="1033" customFormat="1" ht="42.6" customHeight="1">
      <c r="A149" s="1035"/>
      <c r="B149" s="710"/>
      <c r="C149" s="1055"/>
      <c r="D149" s="1056"/>
      <c r="E149" s="1264" t="s">
        <v>881</v>
      </c>
      <c r="F149" s="1264"/>
      <c r="G149" s="1264"/>
      <c r="H149" s="1264"/>
      <c r="I149" s="1264"/>
      <c r="J149" s="1264"/>
      <c r="K149" s="1264"/>
      <c r="L149" s="1264"/>
      <c r="M149" s="1264"/>
      <c r="N149" s="1264"/>
      <c r="O149" s="1265"/>
      <c r="P149" s="1052"/>
      <c r="Q149" s="1032"/>
      <c r="R149" s="1053"/>
    </row>
    <row r="150" spans="1:18" s="67" customFormat="1" ht="94.95" customHeight="1">
      <c r="A150" s="394"/>
      <c r="B150" s="129"/>
      <c r="C150" s="390">
        <v>3</v>
      </c>
      <c r="D150" s="136"/>
      <c r="E150" s="368" t="s">
        <v>374</v>
      </c>
      <c r="F150" s="128"/>
      <c r="G150" s="367"/>
      <c r="H150" s="367"/>
      <c r="I150" s="367"/>
      <c r="J150" s="367"/>
      <c r="K150" s="456">
        <v>10000</v>
      </c>
      <c r="L150" s="456">
        <f t="shared" ref="L150" si="44">SUM(F150:K150)</f>
        <v>10000</v>
      </c>
      <c r="M150" s="456">
        <v>8690</v>
      </c>
      <c r="N150" s="456">
        <v>8690</v>
      </c>
      <c r="O150" s="871">
        <f>N150/M150</f>
        <v>1</v>
      </c>
      <c r="P150" s="760" t="s">
        <v>286</v>
      </c>
    </row>
    <row r="151" spans="1:18" s="1033" customFormat="1" ht="96" customHeight="1">
      <c r="A151" s="1035"/>
      <c r="B151" s="710"/>
      <c r="C151" s="1055"/>
      <c r="D151" s="1056"/>
      <c r="E151" s="1264" t="s">
        <v>788</v>
      </c>
      <c r="F151" s="1264"/>
      <c r="G151" s="1264"/>
      <c r="H151" s="1264"/>
      <c r="I151" s="1264"/>
      <c r="J151" s="1264"/>
      <c r="K151" s="1264"/>
      <c r="L151" s="1264"/>
      <c r="M151" s="1264"/>
      <c r="N151" s="1264"/>
      <c r="O151" s="1265"/>
      <c r="P151" s="1052"/>
      <c r="Q151" s="1032"/>
      <c r="R151" s="1053"/>
    </row>
    <row r="152" spans="1:18" s="67" customFormat="1" ht="67.95" customHeight="1">
      <c r="A152" s="394"/>
      <c r="B152" s="129"/>
      <c r="C152" s="390">
        <v>4</v>
      </c>
      <c r="D152" s="136"/>
      <c r="E152" s="368" t="s">
        <v>789</v>
      </c>
      <c r="F152" s="128"/>
      <c r="G152" s="367"/>
      <c r="H152" s="367"/>
      <c r="I152" s="367"/>
      <c r="J152" s="367"/>
      <c r="K152" s="456">
        <v>2000</v>
      </c>
      <c r="L152" s="456">
        <v>0</v>
      </c>
      <c r="M152" s="456">
        <v>4000</v>
      </c>
      <c r="N152" s="456">
        <v>0</v>
      </c>
      <c r="O152" s="871">
        <v>0</v>
      </c>
      <c r="P152" s="760" t="s">
        <v>286</v>
      </c>
    </row>
    <row r="153" spans="1:18" s="1033" customFormat="1" ht="86.25" customHeight="1">
      <c r="A153" s="1035"/>
      <c r="B153" s="710"/>
      <c r="C153" s="1055"/>
      <c r="D153" s="1056"/>
      <c r="E153" s="1264" t="s">
        <v>886</v>
      </c>
      <c r="F153" s="1264"/>
      <c r="G153" s="1264"/>
      <c r="H153" s="1264"/>
      <c r="I153" s="1264"/>
      <c r="J153" s="1264"/>
      <c r="K153" s="1264"/>
      <c r="L153" s="1264"/>
      <c r="M153" s="1264"/>
      <c r="N153" s="1264"/>
      <c r="O153" s="1265"/>
      <c r="P153" s="1052"/>
      <c r="Q153" s="1032"/>
      <c r="R153" s="1053"/>
    </row>
    <row r="154" spans="1:18" s="79" customFormat="1" ht="60" customHeight="1">
      <c r="A154" s="573"/>
      <c r="B154" s="78">
        <v>71035</v>
      </c>
      <c r="C154" s="77"/>
      <c r="D154" s="76"/>
      <c r="E154" s="75" t="s">
        <v>126</v>
      </c>
      <c r="F154" s="414">
        <f>SUM(F155:F155)</f>
        <v>0</v>
      </c>
      <c r="G154" s="414">
        <f>SUM(G155:G155)</f>
        <v>0</v>
      </c>
      <c r="H154" s="414">
        <f>SUM(H155:H155)</f>
        <v>0</v>
      </c>
      <c r="I154" s="414">
        <f>SUM(I155:I155)</f>
        <v>0</v>
      </c>
      <c r="J154" s="414">
        <f>SUM(J155:J155)</f>
        <v>0</v>
      </c>
      <c r="K154" s="414">
        <f>K155</f>
        <v>160000</v>
      </c>
      <c r="L154" s="95">
        <f t="shared" ref="L154:L155" si="45">SUM(F154:K154)</f>
        <v>160000</v>
      </c>
      <c r="M154" s="95">
        <f>M155</f>
        <v>160000</v>
      </c>
      <c r="N154" s="95">
        <f>N155</f>
        <v>44428.47</v>
      </c>
      <c r="O154" s="868">
        <f>N154/M154</f>
        <v>0.27767793750000003</v>
      </c>
      <c r="P154" s="760" t="s">
        <v>286</v>
      </c>
    </row>
    <row r="155" spans="1:18" s="79" customFormat="1" ht="56.25" customHeight="1">
      <c r="A155" s="554"/>
      <c r="B155" s="178"/>
      <c r="C155" s="101">
        <v>1</v>
      </c>
      <c r="D155" s="100"/>
      <c r="E155" s="122" t="s">
        <v>164</v>
      </c>
      <c r="F155" s="192"/>
      <c r="G155" s="436"/>
      <c r="H155" s="98"/>
      <c r="I155" s="98"/>
      <c r="J155" s="98"/>
      <c r="K155" s="98">
        <f>170000-10000</f>
        <v>160000</v>
      </c>
      <c r="L155" s="98">
        <f t="shared" si="45"/>
        <v>160000</v>
      </c>
      <c r="M155" s="98">
        <v>160000</v>
      </c>
      <c r="N155" s="98">
        <v>44428.47</v>
      </c>
      <c r="O155" s="880">
        <f>N155/M155</f>
        <v>0.27767793750000003</v>
      </c>
      <c r="P155" s="760" t="s">
        <v>286</v>
      </c>
    </row>
    <row r="156" spans="1:18" s="1033" customFormat="1" ht="59.4" customHeight="1">
      <c r="A156" s="1248"/>
      <c r="B156" s="1249"/>
      <c r="C156" s="1250"/>
      <c r="D156" s="416"/>
      <c r="E156" s="1262" t="s">
        <v>887</v>
      </c>
      <c r="F156" s="1262"/>
      <c r="G156" s="1262"/>
      <c r="H156" s="1262"/>
      <c r="I156" s="1262"/>
      <c r="J156" s="1262"/>
      <c r="K156" s="1262"/>
      <c r="L156" s="1262"/>
      <c r="M156" s="1262"/>
      <c r="N156" s="1262"/>
      <c r="O156" s="1263"/>
      <c r="P156" s="1252"/>
      <c r="Q156" s="1032"/>
      <c r="R156" s="1053"/>
    </row>
    <row r="157" spans="1:18" s="1033" customFormat="1" ht="107.4" customHeight="1">
      <c r="A157" s="1248"/>
      <c r="B157" s="1249"/>
      <c r="C157" s="1036"/>
      <c r="D157" s="416"/>
      <c r="E157" s="1262" t="s">
        <v>888</v>
      </c>
      <c r="F157" s="1262"/>
      <c r="G157" s="1262"/>
      <c r="H157" s="1262"/>
      <c r="I157" s="1262"/>
      <c r="J157" s="1262"/>
      <c r="K157" s="1262"/>
      <c r="L157" s="1262"/>
      <c r="M157" s="1262"/>
      <c r="N157" s="1262"/>
      <c r="O157" s="1263"/>
      <c r="P157" s="1251"/>
      <c r="Q157" s="1032"/>
      <c r="R157" s="1053"/>
    </row>
    <row r="158" spans="1:18" s="1033" customFormat="1" ht="72.599999999999994" customHeight="1">
      <c r="A158" s="1248"/>
      <c r="B158" s="1249"/>
      <c r="C158" s="1036"/>
      <c r="D158" s="416"/>
      <c r="E158" s="1264" t="s">
        <v>889</v>
      </c>
      <c r="F158" s="1264"/>
      <c r="G158" s="1264"/>
      <c r="H158" s="1264"/>
      <c r="I158" s="1264"/>
      <c r="J158" s="1264"/>
      <c r="K158" s="1264"/>
      <c r="L158" s="1264"/>
      <c r="M158" s="1264"/>
      <c r="N158" s="1264"/>
      <c r="O158" s="1265"/>
      <c r="P158" s="1251"/>
      <c r="Q158" s="1032"/>
      <c r="R158" s="1053"/>
    </row>
    <row r="159" spans="1:18" s="67" customFormat="1" ht="63.75" customHeight="1">
      <c r="A159" s="634"/>
      <c r="B159" s="78">
        <v>71095</v>
      </c>
      <c r="C159" s="77"/>
      <c r="D159" s="76"/>
      <c r="E159" s="75" t="s">
        <v>8</v>
      </c>
      <c r="F159" s="414">
        <f t="shared" ref="F159:L159" si="46">SUM(F160:F172)</f>
        <v>0</v>
      </c>
      <c r="G159" s="414">
        <f t="shared" si="46"/>
        <v>0</v>
      </c>
      <c r="H159" s="414">
        <f t="shared" si="46"/>
        <v>0</v>
      </c>
      <c r="I159" s="414">
        <f t="shared" si="46"/>
        <v>0</v>
      </c>
      <c r="J159" s="414">
        <f t="shared" si="46"/>
        <v>0</v>
      </c>
      <c r="K159" s="414">
        <f t="shared" si="46"/>
        <v>112000</v>
      </c>
      <c r="L159" s="95">
        <f t="shared" si="46"/>
        <v>112000</v>
      </c>
      <c r="M159" s="95">
        <f>M160+M162+M164+M166+M168+M170+M172</f>
        <v>109310</v>
      </c>
      <c r="N159" s="95">
        <f>N160+N162+N164+N166+N168+N170+N172</f>
        <v>52261.4</v>
      </c>
      <c r="O159" s="868">
        <f>N159/M159</f>
        <v>0.47810264385692069</v>
      </c>
      <c r="P159" s="760" t="s">
        <v>286</v>
      </c>
    </row>
    <row r="160" spans="1:18" s="67" customFormat="1" ht="64.2" customHeight="1">
      <c r="A160" s="394"/>
      <c r="B160" s="158"/>
      <c r="C160" s="245">
        <v>1</v>
      </c>
      <c r="D160" s="156"/>
      <c r="E160" s="366" t="s">
        <v>151</v>
      </c>
      <c r="F160" s="155"/>
      <c r="G160" s="154"/>
      <c r="H160" s="154"/>
      <c r="I160" s="154"/>
      <c r="J160" s="154"/>
      <c r="K160" s="423">
        <v>30000</v>
      </c>
      <c r="L160" s="423">
        <f t="shared" ref="L160:L179" si="47">SUM(F160:K160)</f>
        <v>30000</v>
      </c>
      <c r="M160" s="423">
        <v>30000</v>
      </c>
      <c r="N160" s="423">
        <v>12442.98</v>
      </c>
      <c r="O160" s="883">
        <f>N160/M160</f>
        <v>0.41476599999999997</v>
      </c>
      <c r="P160" s="760" t="s">
        <v>286</v>
      </c>
    </row>
    <row r="161" spans="1:18" s="1033" customFormat="1" ht="88.8" customHeight="1">
      <c r="A161" s="1035"/>
      <c r="B161" s="710"/>
      <c r="C161" s="1055"/>
      <c r="D161" s="1056"/>
      <c r="E161" s="1264" t="s">
        <v>890</v>
      </c>
      <c r="F161" s="1264"/>
      <c r="G161" s="1264"/>
      <c r="H161" s="1264"/>
      <c r="I161" s="1264"/>
      <c r="J161" s="1264"/>
      <c r="K161" s="1264"/>
      <c r="L161" s="1264"/>
      <c r="M161" s="1264"/>
      <c r="N161" s="1264"/>
      <c r="O161" s="1265"/>
      <c r="P161" s="1052"/>
      <c r="Q161" s="1032"/>
      <c r="R161" s="1053"/>
    </row>
    <row r="162" spans="1:18" s="67" customFormat="1" ht="45.6" customHeight="1">
      <c r="A162" s="650"/>
      <c r="B162" s="651"/>
      <c r="C162" s="594">
        <v>2</v>
      </c>
      <c r="D162" s="603"/>
      <c r="E162" s="1194" t="s">
        <v>158</v>
      </c>
      <c r="F162" s="588"/>
      <c r="G162" s="596"/>
      <c r="H162" s="596"/>
      <c r="I162" s="596"/>
      <c r="J162" s="596"/>
      <c r="K162" s="563">
        <v>2000</v>
      </c>
      <c r="L162" s="563">
        <f t="shared" si="47"/>
        <v>2000</v>
      </c>
      <c r="M162" s="563">
        <v>2000</v>
      </c>
      <c r="N162" s="563">
        <v>289.17</v>
      </c>
      <c r="O162" s="872">
        <f>N162/M162</f>
        <v>0.14458500000000002</v>
      </c>
      <c r="P162" s="760" t="s">
        <v>286</v>
      </c>
    </row>
    <row r="163" spans="1:18" s="1033" customFormat="1" ht="62.25" customHeight="1">
      <c r="A163" s="1035"/>
      <c r="B163" s="710"/>
      <c r="C163" s="1055"/>
      <c r="D163" s="1056"/>
      <c r="E163" s="1264" t="s">
        <v>891</v>
      </c>
      <c r="F163" s="1264"/>
      <c r="G163" s="1264"/>
      <c r="H163" s="1264"/>
      <c r="I163" s="1264"/>
      <c r="J163" s="1264"/>
      <c r="K163" s="1264"/>
      <c r="L163" s="1264"/>
      <c r="M163" s="1264"/>
      <c r="N163" s="1264"/>
      <c r="O163" s="1265"/>
      <c r="P163" s="1052"/>
      <c r="Q163" s="1032"/>
      <c r="R163" s="1053"/>
    </row>
    <row r="164" spans="1:18" s="67" customFormat="1" ht="45.6" customHeight="1">
      <c r="A164" s="650"/>
      <c r="B164" s="651"/>
      <c r="C164" s="594">
        <v>3</v>
      </c>
      <c r="D164" s="603"/>
      <c r="E164" s="1194" t="s">
        <v>159</v>
      </c>
      <c r="F164" s="588"/>
      <c r="G164" s="596"/>
      <c r="H164" s="596"/>
      <c r="I164" s="596"/>
      <c r="J164" s="596"/>
      <c r="K164" s="563">
        <v>10000</v>
      </c>
      <c r="L164" s="563">
        <f t="shared" si="47"/>
        <v>10000</v>
      </c>
      <c r="M164" s="563">
        <v>7310</v>
      </c>
      <c r="N164" s="563">
        <v>1164.25</v>
      </c>
      <c r="O164" s="872">
        <f>N164/M164</f>
        <v>0.15926812585499317</v>
      </c>
      <c r="P164" s="760" t="s">
        <v>286</v>
      </c>
    </row>
    <row r="165" spans="1:18" s="1033" customFormat="1" ht="89.4" customHeight="1">
      <c r="A165" s="1035"/>
      <c r="B165" s="710"/>
      <c r="C165" s="1055"/>
      <c r="D165" s="1056"/>
      <c r="E165" s="1264" t="s">
        <v>892</v>
      </c>
      <c r="F165" s="1264"/>
      <c r="G165" s="1264"/>
      <c r="H165" s="1264"/>
      <c r="I165" s="1264"/>
      <c r="J165" s="1264"/>
      <c r="K165" s="1264"/>
      <c r="L165" s="1264"/>
      <c r="M165" s="1264"/>
      <c r="N165" s="1264"/>
      <c r="O165" s="1265"/>
      <c r="P165" s="1052"/>
      <c r="Q165" s="1032"/>
      <c r="R165" s="1053"/>
    </row>
    <row r="166" spans="1:18" s="67" customFormat="1" ht="45" customHeight="1">
      <c r="A166" s="650"/>
      <c r="B166" s="651"/>
      <c r="C166" s="594">
        <v>4</v>
      </c>
      <c r="D166" s="603"/>
      <c r="E166" s="1194" t="s">
        <v>154</v>
      </c>
      <c r="F166" s="588"/>
      <c r="G166" s="596"/>
      <c r="H166" s="596"/>
      <c r="I166" s="596"/>
      <c r="J166" s="596"/>
      <c r="K166" s="563">
        <f>15000-5000</f>
        <v>10000</v>
      </c>
      <c r="L166" s="563">
        <f t="shared" ref="L166:L172" si="48">SUM(F166:K166)</f>
        <v>10000</v>
      </c>
      <c r="M166" s="563">
        <v>10000</v>
      </c>
      <c r="N166" s="563">
        <v>1200</v>
      </c>
      <c r="O166" s="872">
        <f>N166/M166</f>
        <v>0.12</v>
      </c>
      <c r="P166" s="760" t="s">
        <v>286</v>
      </c>
    </row>
    <row r="167" spans="1:18" s="1033" customFormat="1" ht="62.25" customHeight="1">
      <c r="A167" s="1035"/>
      <c r="B167" s="710"/>
      <c r="C167" s="1055"/>
      <c r="D167" s="1056"/>
      <c r="E167" s="1264" t="s">
        <v>790</v>
      </c>
      <c r="F167" s="1264"/>
      <c r="G167" s="1264"/>
      <c r="H167" s="1264"/>
      <c r="I167" s="1264"/>
      <c r="J167" s="1264"/>
      <c r="K167" s="1264"/>
      <c r="L167" s="1264"/>
      <c r="M167" s="1264"/>
      <c r="N167" s="1264"/>
      <c r="O167" s="1265"/>
      <c r="P167" s="1052"/>
      <c r="Q167" s="1032"/>
      <c r="R167" s="1053"/>
    </row>
    <row r="168" spans="1:18" s="67" customFormat="1" ht="70.5" customHeight="1">
      <c r="A168" s="650"/>
      <c r="B168" s="651"/>
      <c r="C168" s="594">
        <v>5</v>
      </c>
      <c r="D168" s="603"/>
      <c r="E168" s="1194" t="s">
        <v>155</v>
      </c>
      <c r="F168" s="588"/>
      <c r="G168" s="596"/>
      <c r="H168" s="596"/>
      <c r="I168" s="596"/>
      <c r="J168" s="596"/>
      <c r="K168" s="563">
        <v>30000</v>
      </c>
      <c r="L168" s="563">
        <f t="shared" si="48"/>
        <v>30000</v>
      </c>
      <c r="M168" s="563">
        <v>40000</v>
      </c>
      <c r="N168" s="563">
        <v>34100</v>
      </c>
      <c r="O168" s="872">
        <f>N168/M168</f>
        <v>0.85250000000000004</v>
      </c>
      <c r="P168" s="760" t="s">
        <v>286</v>
      </c>
    </row>
    <row r="169" spans="1:18" s="1033" customFormat="1" ht="103.2" customHeight="1">
      <c r="A169" s="1035"/>
      <c r="B169" s="710"/>
      <c r="C169" s="1055"/>
      <c r="D169" s="1056"/>
      <c r="E169" s="1264" t="s">
        <v>893</v>
      </c>
      <c r="F169" s="1264"/>
      <c r="G169" s="1264"/>
      <c r="H169" s="1264"/>
      <c r="I169" s="1264"/>
      <c r="J169" s="1264"/>
      <c r="K169" s="1264"/>
      <c r="L169" s="1264"/>
      <c r="M169" s="1264"/>
      <c r="N169" s="1264"/>
      <c r="O169" s="1265"/>
      <c r="P169" s="1052"/>
      <c r="Q169" s="1032"/>
      <c r="R169" s="1053"/>
    </row>
    <row r="170" spans="1:18" s="67" customFormat="1" ht="74.25" customHeight="1">
      <c r="A170" s="650"/>
      <c r="B170" s="651"/>
      <c r="C170" s="594">
        <v>6</v>
      </c>
      <c r="D170" s="603"/>
      <c r="E170" s="1194" t="s">
        <v>156</v>
      </c>
      <c r="F170" s="588"/>
      <c r="G170" s="596"/>
      <c r="H170" s="596"/>
      <c r="I170" s="596"/>
      <c r="J170" s="596"/>
      <c r="K170" s="563">
        <v>20000</v>
      </c>
      <c r="L170" s="563">
        <f t="shared" si="48"/>
        <v>20000</v>
      </c>
      <c r="M170" s="563">
        <v>20000</v>
      </c>
      <c r="N170" s="563">
        <v>3065</v>
      </c>
      <c r="O170" s="872">
        <f>N170/M170</f>
        <v>0.15325</v>
      </c>
      <c r="P170" s="760" t="s">
        <v>286</v>
      </c>
    </row>
    <row r="171" spans="1:18" s="1033" customFormat="1" ht="65.400000000000006" customHeight="1">
      <c r="A171" s="1035"/>
      <c r="B171" s="710"/>
      <c r="C171" s="1055"/>
      <c r="D171" s="1056"/>
      <c r="E171" s="1264" t="s">
        <v>791</v>
      </c>
      <c r="F171" s="1264"/>
      <c r="G171" s="1264"/>
      <c r="H171" s="1264"/>
      <c r="I171" s="1264"/>
      <c r="J171" s="1264"/>
      <c r="K171" s="1264"/>
      <c r="L171" s="1264"/>
      <c r="M171" s="1264"/>
      <c r="N171" s="1264"/>
      <c r="O171" s="1265"/>
      <c r="P171" s="1052"/>
      <c r="Q171" s="1032"/>
      <c r="R171" s="1053"/>
    </row>
    <row r="172" spans="1:18" s="67" customFormat="1" ht="64.2" customHeight="1">
      <c r="A172" s="650"/>
      <c r="B172" s="651"/>
      <c r="C172" s="594">
        <v>7</v>
      </c>
      <c r="D172" s="603"/>
      <c r="E172" s="1194" t="s">
        <v>157</v>
      </c>
      <c r="F172" s="588"/>
      <c r="G172" s="596"/>
      <c r="H172" s="596"/>
      <c r="I172" s="596"/>
      <c r="J172" s="596"/>
      <c r="K172" s="563">
        <v>10000</v>
      </c>
      <c r="L172" s="563">
        <f t="shared" si="48"/>
        <v>10000</v>
      </c>
      <c r="M172" s="563">
        <v>0</v>
      </c>
      <c r="N172" s="563">
        <v>0</v>
      </c>
      <c r="O172" s="872">
        <v>0</v>
      </c>
      <c r="P172" s="760" t="s">
        <v>286</v>
      </c>
    </row>
    <row r="173" spans="1:18" s="79" customFormat="1" ht="50.1" customHeight="1">
      <c r="A173" s="86">
        <v>5</v>
      </c>
      <c r="B173" s="85">
        <v>720</v>
      </c>
      <c r="C173" s="84"/>
      <c r="D173" s="83"/>
      <c r="E173" s="82" t="s">
        <v>125</v>
      </c>
      <c r="F173" s="80">
        <f t="shared" ref="F173:K173" si="49">F174</f>
        <v>0</v>
      </c>
      <c r="G173" s="80">
        <f t="shared" si="49"/>
        <v>0</v>
      </c>
      <c r="H173" s="80">
        <f t="shared" si="49"/>
        <v>0</v>
      </c>
      <c r="I173" s="80">
        <f t="shared" si="49"/>
        <v>0</v>
      </c>
      <c r="J173" s="80">
        <f t="shared" si="49"/>
        <v>0</v>
      </c>
      <c r="K173" s="80">
        <f t="shared" si="49"/>
        <v>44600</v>
      </c>
      <c r="L173" s="80">
        <f t="shared" si="47"/>
        <v>44600</v>
      </c>
      <c r="M173" s="80">
        <f>M174</f>
        <v>44600</v>
      </c>
      <c r="N173" s="80">
        <f>N174</f>
        <v>0</v>
      </c>
      <c r="O173" s="867">
        <f>0</f>
        <v>0</v>
      </c>
      <c r="P173" s="760" t="s">
        <v>286</v>
      </c>
    </row>
    <row r="174" spans="1:18" s="202" customFormat="1" ht="50.1" customHeight="1">
      <c r="A174" s="558"/>
      <c r="B174" s="177">
        <v>72095</v>
      </c>
      <c r="C174" s="176"/>
      <c r="D174" s="175"/>
      <c r="E174" s="174" t="s">
        <v>8</v>
      </c>
      <c r="F174" s="414">
        <f t="shared" ref="F174:J174" si="50">SUM(F175:F175)</f>
        <v>0</v>
      </c>
      <c r="G174" s="414">
        <f t="shared" si="50"/>
        <v>0</v>
      </c>
      <c r="H174" s="414">
        <f t="shared" si="50"/>
        <v>0</v>
      </c>
      <c r="I174" s="414">
        <f t="shared" si="50"/>
        <v>0</v>
      </c>
      <c r="J174" s="414">
        <f t="shared" si="50"/>
        <v>0</v>
      </c>
      <c r="K174" s="414">
        <f>SUM(K175:K175)</f>
        <v>44600</v>
      </c>
      <c r="L174" s="95">
        <f t="shared" si="47"/>
        <v>44600</v>
      </c>
      <c r="M174" s="95">
        <f>M175</f>
        <v>44600</v>
      </c>
      <c r="N174" s="95">
        <f>N175</f>
        <v>0</v>
      </c>
      <c r="O174" s="868">
        <v>0</v>
      </c>
      <c r="P174" s="761" t="s">
        <v>286</v>
      </c>
    </row>
    <row r="175" spans="1:18" s="1259" customFormat="1" ht="92.4" customHeight="1">
      <c r="A175" s="1255"/>
      <c r="B175" s="1256"/>
      <c r="C175" s="698">
        <v>1</v>
      </c>
      <c r="D175" s="699"/>
      <c r="E175" s="365" t="s">
        <v>299</v>
      </c>
      <c r="F175" s="1257"/>
      <c r="G175" s="1258"/>
      <c r="H175" s="1258"/>
      <c r="I175" s="1258"/>
      <c r="J175" s="1258"/>
      <c r="K175" s="1257">
        <v>44600</v>
      </c>
      <c r="L175" s="423">
        <f t="shared" si="47"/>
        <v>44600</v>
      </c>
      <c r="M175" s="423">
        <v>44600</v>
      </c>
      <c r="N175" s="423">
        <v>0</v>
      </c>
      <c r="O175" s="883">
        <v>0</v>
      </c>
      <c r="P175" s="813" t="s">
        <v>286</v>
      </c>
    </row>
    <row r="176" spans="1:18" s="290" customFormat="1">
      <c r="A176" s="1255"/>
      <c r="B176" s="1256"/>
      <c r="C176" s="753"/>
      <c r="D176" s="540"/>
      <c r="E176" s="1266" t="s">
        <v>894</v>
      </c>
      <c r="F176" s="1266"/>
      <c r="G176" s="1266"/>
      <c r="H176" s="1266"/>
      <c r="I176" s="1266"/>
      <c r="J176" s="1266"/>
      <c r="K176" s="1266"/>
      <c r="L176" s="1266"/>
      <c r="M176" s="1266"/>
      <c r="N176" s="1266"/>
      <c r="O176" s="1267"/>
      <c r="P176" s="761"/>
    </row>
    <row r="177" spans="1:16" s="79" customFormat="1" ht="62.25" customHeight="1">
      <c r="A177" s="86">
        <v>6</v>
      </c>
      <c r="B177" s="85">
        <v>750</v>
      </c>
      <c r="C177" s="84"/>
      <c r="D177" s="83"/>
      <c r="E177" s="82" t="s">
        <v>124</v>
      </c>
      <c r="F177" s="80" t="e">
        <f t="shared" ref="F177:N177" si="51">F178+F195+F206+F260+F266+F293</f>
        <v>#REF!</v>
      </c>
      <c r="G177" s="80" t="e">
        <f t="shared" si="51"/>
        <v>#REF!</v>
      </c>
      <c r="H177" s="80" t="e">
        <f t="shared" si="51"/>
        <v>#REF!</v>
      </c>
      <c r="I177" s="80" t="e">
        <f t="shared" si="51"/>
        <v>#REF!</v>
      </c>
      <c r="J177" s="80" t="e">
        <f t="shared" si="51"/>
        <v>#REF!</v>
      </c>
      <c r="K177" s="80" t="e">
        <f t="shared" si="51"/>
        <v>#REF!</v>
      </c>
      <c r="L177" s="80">
        <f t="shared" si="51"/>
        <v>8922570</v>
      </c>
      <c r="M177" s="80">
        <f t="shared" si="51"/>
        <v>8933610</v>
      </c>
      <c r="N177" s="80">
        <f t="shared" si="51"/>
        <v>3955081.3699999996</v>
      </c>
      <c r="O177" s="867">
        <f>N177/M177</f>
        <v>0.44271927809698425</v>
      </c>
      <c r="P177" s="760"/>
    </row>
    <row r="178" spans="1:16" s="202" customFormat="1" ht="62.25" customHeight="1">
      <c r="A178" s="558"/>
      <c r="B178" s="177" t="s">
        <v>123</v>
      </c>
      <c r="C178" s="176"/>
      <c r="D178" s="175"/>
      <c r="E178" s="174" t="s">
        <v>122</v>
      </c>
      <c r="F178" s="414">
        <f>F179+F187</f>
        <v>190850</v>
      </c>
      <c r="G178" s="414">
        <f t="shared" ref="G178:K178" si="52">G179+G187</f>
        <v>0</v>
      </c>
      <c r="H178" s="414">
        <f t="shared" si="52"/>
        <v>0</v>
      </c>
      <c r="I178" s="414">
        <f t="shared" si="52"/>
        <v>0</v>
      </c>
      <c r="J178" s="414">
        <f t="shared" si="52"/>
        <v>0</v>
      </c>
      <c r="K178" s="414">
        <f t="shared" si="52"/>
        <v>283924</v>
      </c>
      <c r="L178" s="95">
        <f>SUM(F178:K178)</f>
        <v>474774</v>
      </c>
      <c r="M178" s="95">
        <f>M179+M187+M194</f>
        <v>485814</v>
      </c>
      <c r="N178" s="95">
        <f>N179+N187+N194</f>
        <v>195632.08000000002</v>
      </c>
      <c r="O178" s="868">
        <f>N178/M178</f>
        <v>0.40268925967551372</v>
      </c>
      <c r="P178" s="761" t="s">
        <v>286</v>
      </c>
    </row>
    <row r="179" spans="1:16" s="290" customFormat="1" ht="62.25" customHeight="1">
      <c r="A179" s="581"/>
      <c r="B179" s="204"/>
      <c r="C179" s="214">
        <v>1</v>
      </c>
      <c r="D179" s="268"/>
      <c r="E179" s="225" t="s">
        <v>246</v>
      </c>
      <c r="F179" s="219">
        <f>SUM(F181:F185)</f>
        <v>117942</v>
      </c>
      <c r="G179" s="219">
        <f t="shared" ref="G179:K179" si="53">SUM(G181:G185)</f>
        <v>0</v>
      </c>
      <c r="H179" s="219">
        <f t="shared" si="53"/>
        <v>0</v>
      </c>
      <c r="I179" s="219">
        <f t="shared" si="53"/>
        <v>0</v>
      </c>
      <c r="J179" s="219">
        <f t="shared" si="53"/>
        <v>0</v>
      </c>
      <c r="K179" s="219">
        <f t="shared" si="53"/>
        <v>227311</v>
      </c>
      <c r="L179" s="423">
        <f t="shared" si="47"/>
        <v>345253</v>
      </c>
      <c r="M179" s="423">
        <f>SUM(M181:M186)</f>
        <v>345253</v>
      </c>
      <c r="N179" s="423">
        <f>SUM(N181:N186)</f>
        <v>154748.27000000002</v>
      </c>
      <c r="O179" s="883">
        <f>N179/M179</f>
        <v>0.44821701766530636</v>
      </c>
      <c r="P179" s="761" t="s">
        <v>286</v>
      </c>
    </row>
    <row r="180" spans="1:16" s="361" customFormat="1" ht="30" customHeight="1">
      <c r="A180" s="582"/>
      <c r="B180" s="265"/>
      <c r="C180" s="363"/>
      <c r="D180" s="264"/>
      <c r="E180" s="362" t="s">
        <v>16</v>
      </c>
      <c r="F180" s="364"/>
      <c r="G180" s="107"/>
      <c r="H180" s="107"/>
      <c r="I180" s="107"/>
      <c r="J180" s="107"/>
      <c r="K180" s="107"/>
      <c r="L180" s="107"/>
      <c r="M180" s="107"/>
      <c r="N180" s="107"/>
      <c r="O180" s="884"/>
      <c r="P180" s="767"/>
    </row>
    <row r="181" spans="1:16" s="290" customFormat="1" ht="46.5" customHeight="1">
      <c r="A181" s="581"/>
      <c r="B181" s="204"/>
      <c r="C181" s="452"/>
      <c r="D181" s="416"/>
      <c r="E181" s="362" t="s">
        <v>198</v>
      </c>
      <c r="F181" s="732">
        <v>117942</v>
      </c>
      <c r="G181" s="733"/>
      <c r="H181" s="733"/>
      <c r="I181" s="733"/>
      <c r="J181" s="733"/>
      <c r="K181" s="733">
        <f>183614-55904</f>
        <v>127710</v>
      </c>
      <c r="L181" s="733">
        <v>244816</v>
      </c>
      <c r="M181" s="733">
        <f>244816-456</f>
        <v>244360</v>
      </c>
      <c r="N181" s="733">
        <v>106143.22</v>
      </c>
      <c r="O181" s="885">
        <f>N181/M181</f>
        <v>0.43437231952856442</v>
      </c>
      <c r="P181" s="761" t="s">
        <v>286</v>
      </c>
    </row>
    <row r="182" spans="1:16" s="290" customFormat="1" ht="44.25" customHeight="1">
      <c r="A182" s="581"/>
      <c r="B182" s="204"/>
      <c r="C182" s="452"/>
      <c r="D182" s="416"/>
      <c r="E182" s="362" t="s">
        <v>121</v>
      </c>
      <c r="F182" s="732"/>
      <c r="G182" s="733"/>
      <c r="H182" s="733"/>
      <c r="I182" s="733"/>
      <c r="J182" s="733"/>
      <c r="K182" s="733">
        <f>20992+5086</f>
        <v>26078</v>
      </c>
      <c r="L182" s="733">
        <v>26914</v>
      </c>
      <c r="M182" s="733">
        <f>26914-1576</f>
        <v>25338</v>
      </c>
      <c r="N182" s="733">
        <v>18794.04</v>
      </c>
      <c r="O182" s="885">
        <f t="shared" ref="O182:O186" si="54">N182/M182</f>
        <v>0.74173336490646469</v>
      </c>
      <c r="P182" s="761" t="s">
        <v>286</v>
      </c>
    </row>
    <row r="183" spans="1:16" s="290" customFormat="1" ht="44.25" customHeight="1">
      <c r="A183" s="581"/>
      <c r="B183" s="204"/>
      <c r="C183" s="452"/>
      <c r="D183" s="416"/>
      <c r="E183" s="362" t="s">
        <v>120</v>
      </c>
      <c r="F183" s="732"/>
      <c r="G183" s="733"/>
      <c r="H183" s="733"/>
      <c r="I183" s="733"/>
      <c r="J183" s="733"/>
      <c r="K183" s="733">
        <v>58022</v>
      </c>
      <c r="L183" s="733">
        <f t="shared" ref="L183:L187" si="55">SUM(F183:K183)</f>
        <v>58022</v>
      </c>
      <c r="M183" s="733">
        <v>58022</v>
      </c>
      <c r="N183" s="733">
        <v>20676.12</v>
      </c>
      <c r="O183" s="885">
        <f t="shared" si="54"/>
        <v>0.35634966047361344</v>
      </c>
      <c r="P183" s="761" t="s">
        <v>286</v>
      </c>
    </row>
    <row r="184" spans="1:16" s="290" customFormat="1" ht="44.25" customHeight="1">
      <c r="A184" s="581"/>
      <c r="B184" s="204"/>
      <c r="C184" s="452"/>
      <c r="D184" s="416"/>
      <c r="E184" s="362" t="s">
        <v>119</v>
      </c>
      <c r="F184" s="732"/>
      <c r="G184" s="733"/>
      <c r="H184" s="733"/>
      <c r="I184" s="733"/>
      <c r="J184" s="733"/>
      <c r="K184" s="733">
        <v>8318</v>
      </c>
      <c r="L184" s="733">
        <f t="shared" si="55"/>
        <v>8318</v>
      </c>
      <c r="M184" s="733">
        <v>8318</v>
      </c>
      <c r="N184" s="733">
        <v>2109.79</v>
      </c>
      <c r="O184" s="885">
        <f t="shared" si="54"/>
        <v>0.25364150036066363</v>
      </c>
      <c r="P184" s="761" t="s">
        <v>286</v>
      </c>
    </row>
    <row r="185" spans="1:16" s="290" customFormat="1" ht="44.25" customHeight="1">
      <c r="A185" s="581"/>
      <c r="B185" s="204"/>
      <c r="C185" s="452"/>
      <c r="D185" s="416"/>
      <c r="E185" s="362" t="s">
        <v>118</v>
      </c>
      <c r="F185" s="732"/>
      <c r="G185" s="733"/>
      <c r="H185" s="733"/>
      <c r="I185" s="733"/>
      <c r="J185" s="733"/>
      <c r="K185" s="733">
        <v>7183</v>
      </c>
      <c r="L185" s="733">
        <f t="shared" si="55"/>
        <v>7183</v>
      </c>
      <c r="M185" s="733">
        <f>7183+1576</f>
        <v>8759</v>
      </c>
      <c r="N185" s="733">
        <v>6570</v>
      </c>
      <c r="O185" s="885">
        <f t="shared" si="54"/>
        <v>0.75008562621303798</v>
      </c>
      <c r="P185" s="761" t="s">
        <v>286</v>
      </c>
    </row>
    <row r="186" spans="1:16" s="290" customFormat="1" ht="44.25" customHeight="1">
      <c r="A186" s="581"/>
      <c r="B186" s="204"/>
      <c r="C186" s="452"/>
      <c r="D186" s="416"/>
      <c r="E186" s="362" t="s">
        <v>856</v>
      </c>
      <c r="F186" s="732"/>
      <c r="G186" s="733"/>
      <c r="H186" s="733"/>
      <c r="I186" s="733"/>
      <c r="J186" s="733"/>
      <c r="K186" s="733">
        <v>7183</v>
      </c>
      <c r="L186" s="733">
        <v>0</v>
      </c>
      <c r="M186" s="733">
        <v>456</v>
      </c>
      <c r="N186" s="733">
        <v>455.1</v>
      </c>
      <c r="O186" s="885">
        <f t="shared" si="54"/>
        <v>0.99802631578947376</v>
      </c>
      <c r="P186" s="761" t="s">
        <v>286</v>
      </c>
    </row>
    <row r="187" spans="1:16" s="290" customFormat="1" ht="62.25" customHeight="1">
      <c r="A187" s="581"/>
      <c r="B187" s="204"/>
      <c r="C187" s="571">
        <v>2</v>
      </c>
      <c r="D187" s="663"/>
      <c r="E187" s="664" t="s">
        <v>247</v>
      </c>
      <c r="F187" s="564">
        <f>F189+F190+F191+F192+F193</f>
        <v>72908</v>
      </c>
      <c r="G187" s="564">
        <f t="shared" ref="G187:K187" si="56">G189+G190+G191+G192+G193</f>
        <v>0</v>
      </c>
      <c r="H187" s="564">
        <f t="shared" si="56"/>
        <v>0</v>
      </c>
      <c r="I187" s="564">
        <f t="shared" si="56"/>
        <v>0</v>
      </c>
      <c r="J187" s="564">
        <f t="shared" si="56"/>
        <v>0</v>
      </c>
      <c r="K187" s="564">
        <f t="shared" si="56"/>
        <v>56613</v>
      </c>
      <c r="L187" s="563">
        <f t="shared" si="55"/>
        <v>129521</v>
      </c>
      <c r="M187" s="563">
        <f>SUM(M189:M193)</f>
        <v>132561</v>
      </c>
      <c r="N187" s="563">
        <f>SUM(N189:N193)</f>
        <v>40883.81</v>
      </c>
      <c r="O187" s="872">
        <f>N187/M187</f>
        <v>0.3084150692888557</v>
      </c>
      <c r="P187" s="761"/>
    </row>
    <row r="188" spans="1:16" s="361" customFormat="1" ht="30" customHeight="1">
      <c r="A188" s="582"/>
      <c r="B188" s="265"/>
      <c r="C188" s="363"/>
      <c r="D188" s="264"/>
      <c r="E188" s="362" t="s">
        <v>16</v>
      </c>
      <c r="F188" s="364"/>
      <c r="G188" s="107"/>
      <c r="H188" s="107"/>
      <c r="I188" s="107"/>
      <c r="J188" s="107"/>
      <c r="K188" s="107"/>
      <c r="L188" s="107"/>
      <c r="M188" s="107"/>
      <c r="N188" s="107"/>
      <c r="O188" s="884"/>
      <c r="P188" s="767"/>
    </row>
    <row r="189" spans="1:16" s="290" customFormat="1" ht="46.5" customHeight="1">
      <c r="A189" s="581"/>
      <c r="B189" s="204"/>
      <c r="C189" s="452"/>
      <c r="D189" s="416"/>
      <c r="E189" s="362" t="s">
        <v>198</v>
      </c>
      <c r="F189" s="732">
        <v>55904</v>
      </c>
      <c r="G189" s="733"/>
      <c r="H189" s="733"/>
      <c r="I189" s="733"/>
      <c r="J189" s="733"/>
      <c r="K189" s="733">
        <v>53513</v>
      </c>
      <c r="L189" s="733">
        <f t="shared" ref="L189:L193" si="57">SUM(F189:K189)</f>
        <v>109417</v>
      </c>
      <c r="M189" s="733">
        <f>109417+3040</f>
        <v>112457</v>
      </c>
      <c r="N189" s="733">
        <v>28786.33</v>
      </c>
      <c r="O189" s="885">
        <f>N189/M189</f>
        <v>0.25597632873009241</v>
      </c>
      <c r="P189" s="761" t="s">
        <v>286</v>
      </c>
    </row>
    <row r="190" spans="1:16" s="290" customFormat="1" ht="44.25" customHeight="1">
      <c r="A190" s="581"/>
      <c r="B190" s="204"/>
      <c r="C190" s="452"/>
      <c r="D190" s="416"/>
      <c r="E190" s="362" t="s">
        <v>121</v>
      </c>
      <c r="F190" s="732">
        <v>5086</v>
      </c>
      <c r="G190" s="733"/>
      <c r="H190" s="733"/>
      <c r="I190" s="733"/>
      <c r="J190" s="733"/>
      <c r="K190" s="733">
        <v>0</v>
      </c>
      <c r="L190" s="733">
        <f t="shared" si="57"/>
        <v>5086</v>
      </c>
      <c r="M190" s="733">
        <f>5086-307</f>
        <v>4779</v>
      </c>
      <c r="N190" s="733">
        <v>4358.55</v>
      </c>
      <c r="O190" s="885">
        <f t="shared" ref="O190:O193" si="58">N190/M190</f>
        <v>0.91202134337727558</v>
      </c>
      <c r="P190" s="761" t="s">
        <v>286</v>
      </c>
    </row>
    <row r="191" spans="1:16" s="290" customFormat="1" ht="44.25" customHeight="1">
      <c r="A191" s="581"/>
      <c r="B191" s="204"/>
      <c r="C191" s="452"/>
      <c r="D191" s="416"/>
      <c r="E191" s="362" t="s">
        <v>120</v>
      </c>
      <c r="F191" s="732">
        <v>10424</v>
      </c>
      <c r="G191" s="733"/>
      <c r="H191" s="733"/>
      <c r="I191" s="733"/>
      <c r="J191" s="733"/>
      <c r="K191" s="733">
        <v>1487</v>
      </c>
      <c r="L191" s="733">
        <f t="shared" si="57"/>
        <v>11911</v>
      </c>
      <c r="M191" s="733">
        <v>11911</v>
      </c>
      <c r="N191" s="733">
        <v>5654.09</v>
      </c>
      <c r="O191" s="885">
        <f t="shared" si="58"/>
        <v>0.47469481991436491</v>
      </c>
      <c r="P191" s="761" t="s">
        <v>286</v>
      </c>
    </row>
    <row r="192" spans="1:16" s="290" customFormat="1" ht="44.25" customHeight="1">
      <c r="A192" s="581"/>
      <c r="B192" s="204"/>
      <c r="C192" s="452"/>
      <c r="D192" s="416"/>
      <c r="E192" s="362" t="s">
        <v>119</v>
      </c>
      <c r="F192" s="732">
        <v>1494</v>
      </c>
      <c r="G192" s="733"/>
      <c r="H192" s="733"/>
      <c r="I192" s="733"/>
      <c r="J192" s="733"/>
      <c r="K192" s="733">
        <v>214</v>
      </c>
      <c r="L192" s="733">
        <f t="shared" si="57"/>
        <v>1708</v>
      </c>
      <c r="M192" s="733">
        <v>1708</v>
      </c>
      <c r="N192" s="733">
        <v>805.84</v>
      </c>
      <c r="O192" s="885">
        <f t="shared" si="58"/>
        <v>0.47180327868852462</v>
      </c>
      <c r="P192" s="761" t="s">
        <v>286</v>
      </c>
    </row>
    <row r="193" spans="1:226" s="290" customFormat="1" ht="44.25" customHeight="1">
      <c r="A193" s="581"/>
      <c r="B193" s="204"/>
      <c r="C193" s="452"/>
      <c r="D193" s="416"/>
      <c r="E193" s="362" t="s">
        <v>118</v>
      </c>
      <c r="F193" s="732">
        <v>0</v>
      </c>
      <c r="G193" s="733"/>
      <c r="H193" s="733"/>
      <c r="I193" s="733"/>
      <c r="J193" s="733"/>
      <c r="K193" s="733">
        <v>1399</v>
      </c>
      <c r="L193" s="733">
        <f t="shared" si="57"/>
        <v>1399</v>
      </c>
      <c r="M193" s="733">
        <f>1399+307</f>
        <v>1706</v>
      </c>
      <c r="N193" s="733">
        <v>1279</v>
      </c>
      <c r="O193" s="885">
        <f t="shared" si="58"/>
        <v>0.74970691676436108</v>
      </c>
      <c r="P193" s="761" t="s">
        <v>286</v>
      </c>
    </row>
    <row r="194" spans="1:226" s="290" customFormat="1" ht="62.25" customHeight="1">
      <c r="A194" s="1202"/>
      <c r="B194" s="689"/>
      <c r="C194" s="571">
        <v>3</v>
      </c>
      <c r="D194" s="663"/>
      <c r="E194" s="664" t="s">
        <v>802</v>
      </c>
      <c r="F194" s="564">
        <f>F196+F197+F198+F199+F200</f>
        <v>0</v>
      </c>
      <c r="G194" s="564">
        <f t="shared" ref="G194:K194" si="59">G196+G197+G198+G199+G200</f>
        <v>0</v>
      </c>
      <c r="H194" s="564">
        <f t="shared" si="59"/>
        <v>0</v>
      </c>
      <c r="I194" s="564">
        <f t="shared" si="59"/>
        <v>0</v>
      </c>
      <c r="J194" s="564">
        <f t="shared" si="59"/>
        <v>0</v>
      </c>
      <c r="K194" s="564">
        <f t="shared" si="59"/>
        <v>339100</v>
      </c>
      <c r="L194" s="563">
        <v>0</v>
      </c>
      <c r="M194" s="563">
        <v>8000</v>
      </c>
      <c r="N194" s="563">
        <v>0</v>
      </c>
      <c r="O194" s="872">
        <v>0</v>
      </c>
      <c r="P194" s="1203" t="s">
        <v>286</v>
      </c>
      <c r="Q194" s="761"/>
    </row>
    <row r="195" spans="1:226" s="67" customFormat="1" ht="59.25" customHeight="1">
      <c r="A195" s="488"/>
      <c r="B195" s="78">
        <v>75022</v>
      </c>
      <c r="C195" s="77"/>
      <c r="D195" s="76"/>
      <c r="E195" s="75" t="s">
        <v>117</v>
      </c>
      <c r="F195" s="414">
        <f>SUM(F196:F203)</f>
        <v>0</v>
      </c>
      <c r="G195" s="414">
        <f>SUM(G196:G203)</f>
        <v>0</v>
      </c>
      <c r="H195" s="414">
        <f>SUM(H196:H203)</f>
        <v>0</v>
      </c>
      <c r="I195" s="414">
        <f>SUM(I196:I203)</f>
        <v>0</v>
      </c>
      <c r="J195" s="414">
        <f>SUM(J196:J203)</f>
        <v>0</v>
      </c>
      <c r="K195" s="414">
        <f>SUM(K196:K205)</f>
        <v>348200</v>
      </c>
      <c r="L195" s="95">
        <f>SUM(L196:L205)</f>
        <v>348200</v>
      </c>
      <c r="M195" s="95">
        <f t="shared" ref="M195:N195" si="60">SUM(M196:M205)</f>
        <v>348200</v>
      </c>
      <c r="N195" s="95">
        <f t="shared" si="60"/>
        <v>149005.90000000002</v>
      </c>
      <c r="O195" s="868">
        <f>N195/M195</f>
        <v>0.42793193566915572</v>
      </c>
      <c r="P195" s="760" t="s">
        <v>286</v>
      </c>
    </row>
    <row r="196" spans="1:226" s="297" customFormat="1" ht="55.2" customHeight="1">
      <c r="A196" s="583"/>
      <c r="B196" s="296"/>
      <c r="C196" s="15">
        <v>1</v>
      </c>
      <c r="D196" s="94"/>
      <c r="E196" s="93" t="s">
        <v>160</v>
      </c>
      <c r="F196" s="497"/>
      <c r="G196" s="273"/>
      <c r="H196" s="273"/>
      <c r="I196" s="273"/>
      <c r="J196" s="273"/>
      <c r="K196" s="479">
        <v>20800</v>
      </c>
      <c r="L196" s="479">
        <f t="shared" ref="L196:L202" si="61">SUM(F196:K196)</f>
        <v>20800</v>
      </c>
      <c r="M196" s="498">
        <v>20800</v>
      </c>
      <c r="N196" s="498">
        <v>9600</v>
      </c>
      <c r="O196" s="886">
        <f>N196/M196</f>
        <v>0.46153846153846156</v>
      </c>
      <c r="P196" s="768" t="s">
        <v>286</v>
      </c>
    </row>
    <row r="197" spans="1:226" s="295" customFormat="1" ht="55.2" customHeight="1">
      <c r="A197" s="583"/>
      <c r="B197" s="296"/>
      <c r="C197" s="90">
        <v>2</v>
      </c>
      <c r="D197" s="89"/>
      <c r="E197" s="88" t="s">
        <v>116</v>
      </c>
      <c r="F197" s="499"/>
      <c r="G197" s="465"/>
      <c r="H197" s="465"/>
      <c r="I197" s="465"/>
      <c r="J197" s="465"/>
      <c r="K197" s="87">
        <v>230100</v>
      </c>
      <c r="L197" s="567">
        <f t="shared" si="61"/>
        <v>230100</v>
      </c>
      <c r="M197" s="500">
        <v>230100</v>
      </c>
      <c r="N197" s="500">
        <v>103560</v>
      </c>
      <c r="O197" s="887">
        <f>N197/M197</f>
        <v>0.45006518904823989</v>
      </c>
      <c r="P197" s="765" t="s">
        <v>286</v>
      </c>
    </row>
    <row r="198" spans="1:226" s="358" customFormat="1" ht="55.2" customHeight="1">
      <c r="A198" s="583"/>
      <c r="B198" s="117"/>
      <c r="C198" s="90">
        <v>3</v>
      </c>
      <c r="D198" s="140"/>
      <c r="E198" s="142" t="s">
        <v>115</v>
      </c>
      <c r="F198" s="501"/>
      <c r="G198" s="359"/>
      <c r="H198" s="359"/>
      <c r="I198" s="359"/>
      <c r="J198" s="359"/>
      <c r="K198" s="360">
        <f>79200</f>
        <v>79200</v>
      </c>
      <c r="L198" s="567">
        <f t="shared" si="61"/>
        <v>79200</v>
      </c>
      <c r="M198" s="500">
        <v>79200</v>
      </c>
      <c r="N198" s="500">
        <v>33210</v>
      </c>
      <c r="O198" s="887">
        <f t="shared" ref="O198:O205" si="62">N198/M198</f>
        <v>0.41931818181818181</v>
      </c>
      <c r="P198" s="766" t="s">
        <v>286</v>
      </c>
    </row>
    <row r="199" spans="1:226" s="358" customFormat="1" ht="66" customHeight="1">
      <c r="A199" s="583"/>
      <c r="B199" s="117"/>
      <c r="C199" s="90">
        <v>4</v>
      </c>
      <c r="D199" s="140"/>
      <c r="E199" s="142" t="s">
        <v>114</v>
      </c>
      <c r="F199" s="501"/>
      <c r="G199" s="359"/>
      <c r="H199" s="359"/>
      <c r="I199" s="359"/>
      <c r="J199" s="359"/>
      <c r="K199" s="87">
        <v>3000</v>
      </c>
      <c r="L199" s="567">
        <f t="shared" si="61"/>
        <v>3000</v>
      </c>
      <c r="M199" s="500">
        <v>3000</v>
      </c>
      <c r="N199" s="500">
        <v>1503.2</v>
      </c>
      <c r="O199" s="887">
        <f t="shared" si="62"/>
        <v>0.50106666666666666</v>
      </c>
      <c r="P199" s="766" t="s">
        <v>286</v>
      </c>
    </row>
    <row r="200" spans="1:226" s="358" customFormat="1" ht="55.2" customHeight="1">
      <c r="A200" s="635"/>
      <c r="B200" s="117"/>
      <c r="C200" s="90">
        <v>5</v>
      </c>
      <c r="D200" s="140"/>
      <c r="E200" s="142" t="s">
        <v>113</v>
      </c>
      <c r="F200" s="501"/>
      <c r="G200" s="359"/>
      <c r="H200" s="359"/>
      <c r="I200" s="359"/>
      <c r="J200" s="359"/>
      <c r="K200" s="502">
        <v>6000</v>
      </c>
      <c r="L200" s="567">
        <f t="shared" si="61"/>
        <v>6000</v>
      </c>
      <c r="M200" s="500">
        <v>4700</v>
      </c>
      <c r="N200" s="500">
        <v>0</v>
      </c>
      <c r="O200" s="887">
        <f t="shared" si="62"/>
        <v>0</v>
      </c>
      <c r="P200" s="766" t="s">
        <v>286</v>
      </c>
    </row>
    <row r="201" spans="1:226" s="358" customFormat="1" ht="55.2" customHeight="1">
      <c r="A201" s="635"/>
      <c r="B201" s="117"/>
      <c r="C201" s="90">
        <v>6</v>
      </c>
      <c r="D201" s="140"/>
      <c r="E201" s="142" t="s">
        <v>112</v>
      </c>
      <c r="F201" s="501"/>
      <c r="G201" s="359"/>
      <c r="H201" s="359"/>
      <c r="I201" s="359"/>
      <c r="J201" s="359"/>
      <c r="K201" s="502">
        <v>1000</v>
      </c>
      <c r="L201" s="567">
        <f t="shared" si="61"/>
        <v>1000</v>
      </c>
      <c r="M201" s="500">
        <v>1000</v>
      </c>
      <c r="N201" s="500">
        <v>0</v>
      </c>
      <c r="O201" s="887">
        <f t="shared" si="62"/>
        <v>0</v>
      </c>
      <c r="P201" s="766" t="s">
        <v>286</v>
      </c>
    </row>
    <row r="202" spans="1:226" s="358" customFormat="1" ht="68.400000000000006" customHeight="1">
      <c r="A202" s="393"/>
      <c r="B202" s="117"/>
      <c r="C202" s="90">
        <v>7</v>
      </c>
      <c r="D202" s="140"/>
      <c r="E202" s="142" t="s">
        <v>375</v>
      </c>
      <c r="F202" s="501"/>
      <c r="G202" s="359"/>
      <c r="H202" s="359"/>
      <c r="I202" s="359"/>
      <c r="J202" s="359"/>
      <c r="K202" s="502">
        <v>1200</v>
      </c>
      <c r="L202" s="567">
        <f t="shared" si="61"/>
        <v>1200</v>
      </c>
      <c r="M202" s="500">
        <v>1200</v>
      </c>
      <c r="N202" s="500">
        <v>0</v>
      </c>
      <c r="O202" s="887">
        <f t="shared" si="62"/>
        <v>0</v>
      </c>
      <c r="P202" s="766" t="s">
        <v>286</v>
      </c>
    </row>
    <row r="203" spans="1:226" s="358" customFormat="1" ht="66" customHeight="1">
      <c r="A203" s="393"/>
      <c r="B203" s="398"/>
      <c r="C203" s="90">
        <v>8</v>
      </c>
      <c r="D203" s="140"/>
      <c r="E203" s="142" t="s">
        <v>111</v>
      </c>
      <c r="F203" s="501"/>
      <c r="G203" s="359"/>
      <c r="H203" s="359"/>
      <c r="I203" s="359"/>
      <c r="J203" s="359"/>
      <c r="K203" s="502">
        <v>1000</v>
      </c>
      <c r="L203" s="87">
        <f t="shared" ref="L203:L204" si="63">SUM(F203:K203)</f>
        <v>1000</v>
      </c>
      <c r="M203" s="87">
        <v>1000</v>
      </c>
      <c r="N203" s="87">
        <v>0</v>
      </c>
      <c r="O203" s="887">
        <f t="shared" si="62"/>
        <v>0</v>
      </c>
      <c r="P203" s="766" t="s">
        <v>286</v>
      </c>
    </row>
    <row r="204" spans="1:226" s="358" customFormat="1" ht="66" customHeight="1">
      <c r="A204" s="393"/>
      <c r="B204" s="398"/>
      <c r="C204" s="580">
        <v>9</v>
      </c>
      <c r="D204" s="590"/>
      <c r="E204" s="739" t="s">
        <v>300</v>
      </c>
      <c r="F204" s="740"/>
      <c r="G204" s="741"/>
      <c r="H204" s="741"/>
      <c r="I204" s="741"/>
      <c r="J204" s="741"/>
      <c r="K204" s="742">
        <v>900</v>
      </c>
      <c r="L204" s="567">
        <f t="shared" si="63"/>
        <v>900</v>
      </c>
      <c r="M204" s="567">
        <v>900</v>
      </c>
      <c r="N204" s="567">
        <v>0</v>
      </c>
      <c r="O204" s="887">
        <f t="shared" si="62"/>
        <v>0</v>
      </c>
      <c r="P204" s="766" t="s">
        <v>286</v>
      </c>
    </row>
    <row r="205" spans="1:226" s="358" customFormat="1" ht="70.5" customHeight="1">
      <c r="A205" s="734"/>
      <c r="B205" s="735"/>
      <c r="C205" s="23">
        <v>10</v>
      </c>
      <c r="D205" s="134"/>
      <c r="E205" s="135" t="s">
        <v>340</v>
      </c>
      <c r="F205" s="736"/>
      <c r="G205" s="737"/>
      <c r="H205" s="737"/>
      <c r="I205" s="737"/>
      <c r="J205" s="737"/>
      <c r="K205" s="738">
        <v>5000</v>
      </c>
      <c r="L205" s="666">
        <f>SUM(F205:K205)</f>
        <v>5000</v>
      </c>
      <c r="M205" s="666">
        <v>6300</v>
      </c>
      <c r="N205" s="666">
        <v>1132.7</v>
      </c>
      <c r="O205" s="887">
        <f t="shared" si="62"/>
        <v>0.17979365079365081</v>
      </c>
      <c r="P205" s="766" t="s">
        <v>286</v>
      </c>
    </row>
    <row r="206" spans="1:226" s="79" customFormat="1" ht="49.5" customHeight="1">
      <c r="A206" s="573"/>
      <c r="B206" s="78">
        <v>75023</v>
      </c>
      <c r="C206" s="77"/>
      <c r="D206" s="76"/>
      <c r="E206" s="75" t="s">
        <v>110</v>
      </c>
      <c r="F206" s="95" t="e">
        <f>#REF!</f>
        <v>#REF!</v>
      </c>
      <c r="G206" s="95" t="e">
        <f>#REF!</f>
        <v>#REF!</v>
      </c>
      <c r="H206" s="95" t="e">
        <f>#REF!</f>
        <v>#REF!</v>
      </c>
      <c r="I206" s="95" t="e">
        <f>#REF!</f>
        <v>#REF!</v>
      </c>
      <c r="J206" s="95" t="e">
        <f>#REF!</f>
        <v>#REF!</v>
      </c>
      <c r="K206" s="95" t="e">
        <f>#REF!</f>
        <v>#REF!</v>
      </c>
      <c r="L206" s="95">
        <f>L207</f>
        <v>6346596</v>
      </c>
      <c r="M206" s="95">
        <f t="shared" ref="M206:N206" si="64">M207</f>
        <v>6346596</v>
      </c>
      <c r="N206" s="95">
        <f t="shared" si="64"/>
        <v>2834137.2399999998</v>
      </c>
      <c r="O206" s="868">
        <f>N206/M206</f>
        <v>0.44656020959897241</v>
      </c>
      <c r="P206" s="760" t="s">
        <v>286</v>
      </c>
      <c r="T206" s="1030" t="s">
        <v>633</v>
      </c>
      <c r="HR206" s="79" t="e">
        <f>SUM(A206:HQ206)</f>
        <v>#REF!</v>
      </c>
    </row>
    <row r="207" spans="1:226" s="143" customFormat="1" ht="67.5" customHeight="1">
      <c r="A207" s="1204"/>
      <c r="B207" s="123"/>
      <c r="C207" s="63"/>
      <c r="D207" s="429"/>
      <c r="E207" s="122" t="s">
        <v>109</v>
      </c>
      <c r="F207" s="679"/>
      <c r="G207" s="679"/>
      <c r="H207" s="679"/>
      <c r="I207" s="679"/>
      <c r="J207" s="679"/>
      <c r="K207" s="679" t="e">
        <f>K208+#REF!</f>
        <v>#REF!</v>
      </c>
      <c r="L207" s="679">
        <f>L208+L216</f>
        <v>6346596</v>
      </c>
      <c r="M207" s="679">
        <f t="shared" ref="M207:N207" si="65">M208+M216</f>
        <v>6346596</v>
      </c>
      <c r="N207" s="679">
        <f t="shared" si="65"/>
        <v>2834137.2399999998</v>
      </c>
      <c r="O207" s="918">
        <f>N207/M207</f>
        <v>0.44656020959897241</v>
      </c>
      <c r="P207" s="1205" t="s">
        <v>286</v>
      </c>
      <c r="Q207" s="769"/>
    </row>
    <row r="208" spans="1:226" s="103" customFormat="1" ht="48" customHeight="1">
      <c r="A208" s="1204"/>
      <c r="B208" s="677"/>
      <c r="C208" s="659" t="s">
        <v>24</v>
      </c>
      <c r="D208" s="429"/>
      <c r="E208" s="305" t="s">
        <v>803</v>
      </c>
      <c r="F208" s="678"/>
      <c r="G208" s="679"/>
      <c r="H208" s="679"/>
      <c r="I208" s="679"/>
      <c r="J208" s="679"/>
      <c r="K208" s="679" t="e">
        <f>#REF!+#REF!+#REF!+#REF!+#REF!+#REF!</f>
        <v>#REF!</v>
      </c>
      <c r="L208" s="679">
        <f>L210+L211+L212+L213+L214+L215</f>
        <v>5646296</v>
      </c>
      <c r="M208" s="679">
        <f t="shared" ref="M208:N208" si="66">M210+M211+M212+M213+M214+M215</f>
        <v>5564296</v>
      </c>
      <c r="N208" s="679">
        <f t="shared" si="66"/>
        <v>2534374.8699999996</v>
      </c>
      <c r="O208" s="918">
        <f>N208/M208</f>
        <v>0.45547089335290569</v>
      </c>
      <c r="P208" s="1206" t="s">
        <v>286</v>
      </c>
      <c r="Q208" s="770"/>
    </row>
    <row r="209" spans="1:18" s="361" customFormat="1" ht="30" customHeight="1">
      <c r="A209" s="1197"/>
      <c r="B209" s="804"/>
      <c r="C209" s="363"/>
      <c r="D209" s="264"/>
      <c r="E209" s="362" t="s">
        <v>16</v>
      </c>
      <c r="F209" s="731"/>
      <c r="G209" s="656"/>
      <c r="H209" s="656"/>
      <c r="I209" s="656"/>
      <c r="J209" s="656"/>
      <c r="K209" s="656"/>
      <c r="L209" s="656"/>
      <c r="M209" s="656"/>
      <c r="N209" s="656"/>
      <c r="O209" s="873"/>
      <c r="P209" s="767"/>
      <c r="Q209" s="767"/>
      <c r="R209" s="767"/>
    </row>
    <row r="210" spans="1:18" s="1199" customFormat="1" ht="48" customHeight="1">
      <c r="A210" s="1197"/>
      <c r="B210" s="804"/>
      <c r="C210" s="1198"/>
      <c r="D210" s="264"/>
      <c r="E210" s="422" t="s">
        <v>198</v>
      </c>
      <c r="F210" s="731">
        <v>143757</v>
      </c>
      <c r="G210" s="656"/>
      <c r="H210" s="656"/>
      <c r="I210" s="656"/>
      <c r="J210" s="656"/>
      <c r="K210" s="656">
        <v>206723</v>
      </c>
      <c r="L210" s="656">
        <v>4355208</v>
      </c>
      <c r="M210" s="656">
        <v>4286669</v>
      </c>
      <c r="N210" s="656">
        <v>1795759.36</v>
      </c>
      <c r="O210" s="873">
        <f>N210/M210</f>
        <v>0.41891719654584947</v>
      </c>
      <c r="P210" s="767" t="s">
        <v>286</v>
      </c>
      <c r="Q210" s="767"/>
      <c r="R210" s="767"/>
    </row>
    <row r="211" spans="1:18" s="1199" customFormat="1" ht="48" customHeight="1">
      <c r="A211" s="1197"/>
      <c r="B211" s="804"/>
      <c r="C211" s="1198"/>
      <c r="D211" s="264"/>
      <c r="E211" s="422" t="s">
        <v>121</v>
      </c>
      <c r="F211" s="731">
        <v>28050</v>
      </c>
      <c r="G211" s="656"/>
      <c r="H211" s="656"/>
      <c r="I211" s="656"/>
      <c r="J211" s="656"/>
      <c r="K211" s="656">
        <v>0</v>
      </c>
      <c r="L211" s="656">
        <v>330355</v>
      </c>
      <c r="M211" s="656">
        <v>310637</v>
      </c>
      <c r="N211" s="656">
        <v>284450.5</v>
      </c>
      <c r="O211" s="873">
        <f>N211/M211</f>
        <v>0.91570064094103409</v>
      </c>
      <c r="P211" s="767" t="s">
        <v>286</v>
      </c>
      <c r="Q211" s="767"/>
      <c r="R211" s="767"/>
    </row>
    <row r="212" spans="1:18" s="1199" customFormat="1" ht="48" customHeight="1">
      <c r="A212" s="1197"/>
      <c r="B212" s="804"/>
      <c r="C212" s="1198"/>
      <c r="D212" s="264"/>
      <c r="E212" s="422" t="s">
        <v>120</v>
      </c>
      <c r="F212" s="731">
        <v>29688</v>
      </c>
      <c r="G212" s="656"/>
      <c r="H212" s="656"/>
      <c r="I212" s="656"/>
      <c r="J212" s="656"/>
      <c r="K212" s="656">
        <v>35722</v>
      </c>
      <c r="L212" s="656">
        <v>757329</v>
      </c>
      <c r="M212" s="656">
        <v>745548</v>
      </c>
      <c r="N212" s="656">
        <v>337170.23</v>
      </c>
      <c r="O212" s="873">
        <f>N212/M212</f>
        <v>0.45224483198935544</v>
      </c>
      <c r="P212" s="767" t="s">
        <v>286</v>
      </c>
      <c r="Q212" s="767"/>
      <c r="R212" s="767"/>
    </row>
    <row r="213" spans="1:18" s="1199" customFormat="1" ht="48" customHeight="1">
      <c r="A213" s="1197"/>
      <c r="B213" s="804"/>
      <c r="C213" s="1198"/>
      <c r="D213" s="264"/>
      <c r="E213" s="422" t="s">
        <v>119</v>
      </c>
      <c r="F213" s="731">
        <v>4210</v>
      </c>
      <c r="G213" s="656"/>
      <c r="H213" s="656"/>
      <c r="I213" s="656"/>
      <c r="J213" s="656"/>
      <c r="K213" s="656">
        <v>5070</v>
      </c>
      <c r="L213" s="656">
        <v>108570</v>
      </c>
      <c r="M213" s="656">
        <v>106890</v>
      </c>
      <c r="N213" s="656">
        <v>34829.78</v>
      </c>
      <c r="O213" s="873">
        <f>N213/M213</f>
        <v>0.3258469454579474</v>
      </c>
      <c r="P213" s="767" t="s">
        <v>286</v>
      </c>
      <c r="Q213" s="767"/>
      <c r="R213" s="767"/>
    </row>
    <row r="214" spans="1:18" s="1199" customFormat="1" ht="48" customHeight="1">
      <c r="A214" s="1197"/>
      <c r="B214" s="804"/>
      <c r="C214" s="1198"/>
      <c r="D214" s="264"/>
      <c r="E214" s="422" t="s">
        <v>796</v>
      </c>
      <c r="F214" s="731">
        <v>9080</v>
      </c>
      <c r="G214" s="656"/>
      <c r="H214" s="656"/>
      <c r="I214" s="656"/>
      <c r="J214" s="656"/>
      <c r="K214" s="656">
        <v>0</v>
      </c>
      <c r="L214" s="656">
        <v>89834</v>
      </c>
      <c r="M214" s="656">
        <v>109552</v>
      </c>
      <c r="N214" s="656">
        <v>82165</v>
      </c>
      <c r="O214" s="873">
        <f>N214/M214</f>
        <v>0.75000912808529285</v>
      </c>
      <c r="P214" s="767" t="s">
        <v>286</v>
      </c>
      <c r="Q214" s="767"/>
      <c r="R214" s="767"/>
    </row>
    <row r="215" spans="1:18" s="1208" customFormat="1" ht="48" customHeight="1">
      <c r="A215" s="1204"/>
      <c r="B215" s="658"/>
      <c r="C215" s="1207"/>
      <c r="D215" s="429"/>
      <c r="E215" s="422" t="s">
        <v>804</v>
      </c>
      <c r="F215" s="660"/>
      <c r="G215" s="661"/>
      <c r="H215" s="661"/>
      <c r="I215" s="661"/>
      <c r="J215" s="661"/>
      <c r="K215" s="661">
        <v>20000</v>
      </c>
      <c r="L215" s="675">
        <v>5000</v>
      </c>
      <c r="M215" s="675">
        <v>5000</v>
      </c>
      <c r="N215" s="675">
        <v>0</v>
      </c>
      <c r="O215" s="882">
        <v>0</v>
      </c>
      <c r="P215" s="769" t="s">
        <v>286</v>
      </c>
      <c r="Q215" s="769"/>
      <c r="R215" s="769"/>
    </row>
    <row r="216" spans="1:18" s="297" customFormat="1" ht="54.9" customHeight="1">
      <c r="A216" s="583"/>
      <c r="B216" s="487"/>
      <c r="C216" s="157" t="s">
        <v>53</v>
      </c>
      <c r="D216" s="357"/>
      <c r="E216" s="356" t="s">
        <v>108</v>
      </c>
      <c r="F216" s="503">
        <f t="shared" ref="F216:K216" si="67">F217+F247+F248+F249+F250+F251+F252+F253+F254+F255+F256+F257+F258</f>
        <v>0</v>
      </c>
      <c r="G216" s="503">
        <f t="shared" si="67"/>
        <v>0</v>
      </c>
      <c r="H216" s="503">
        <f t="shared" si="67"/>
        <v>85300</v>
      </c>
      <c r="I216" s="503">
        <f t="shared" si="67"/>
        <v>0</v>
      </c>
      <c r="J216" s="503">
        <f t="shared" si="67"/>
        <v>0</v>
      </c>
      <c r="K216" s="503">
        <f t="shared" si="67"/>
        <v>615000</v>
      </c>
      <c r="L216" s="392">
        <f>SUM(F216:K216)</f>
        <v>700300</v>
      </c>
      <c r="M216" s="392">
        <f>M217+M247+M248+M249+M250+M251+M252+M253+M254+M255+M256+M257+M258+M259</f>
        <v>782300</v>
      </c>
      <c r="N216" s="392">
        <f>N217+N247+N248+N249+N250+N251+N252+N253+N254+N255+N256+N257+N258+N259</f>
        <v>299762.37</v>
      </c>
      <c r="O216" s="890">
        <f>N216/M216</f>
        <v>0.38318083855298479</v>
      </c>
      <c r="P216" s="768" t="s">
        <v>286</v>
      </c>
    </row>
    <row r="217" spans="1:18" s="103" customFormat="1" ht="54.9" customHeight="1">
      <c r="A217" s="477"/>
      <c r="B217" s="413"/>
      <c r="C217" s="539">
        <v>1</v>
      </c>
      <c r="D217" s="540"/>
      <c r="E217" s="541" t="s">
        <v>107</v>
      </c>
      <c r="F217" s="542"/>
      <c r="G217" s="542"/>
      <c r="H217" s="542"/>
      <c r="I217" s="542"/>
      <c r="J217" s="542"/>
      <c r="K217" s="542">
        <f>450000-10000-10000</f>
        <v>430000</v>
      </c>
      <c r="L217" s="542">
        <f t="shared" ref="L217" si="68">SUM(F217:K217)</f>
        <v>430000</v>
      </c>
      <c r="M217" s="542">
        <v>432000</v>
      </c>
      <c r="N217" s="542">
        <f>SUM(N219:N246)</f>
        <v>208011.05</v>
      </c>
      <c r="O217" s="891">
        <f>N217/M217</f>
        <v>0.48150706018518513</v>
      </c>
      <c r="P217" s="770" t="s">
        <v>286</v>
      </c>
    </row>
    <row r="218" spans="1:18" s="106" customFormat="1" ht="45.75" customHeight="1">
      <c r="A218" s="412"/>
      <c r="B218" s="351"/>
      <c r="C218" s="355"/>
      <c r="D218" s="354"/>
      <c r="E218" s="350" t="s">
        <v>84</v>
      </c>
      <c r="F218" s="717"/>
      <c r="G218" s="717"/>
      <c r="H218" s="717"/>
      <c r="I218" s="717"/>
      <c r="J218" s="717"/>
      <c r="K218" s="718"/>
      <c r="L218" s="1233"/>
      <c r="M218" s="1232"/>
      <c r="N218" s="1233"/>
      <c r="O218" s="1234"/>
      <c r="P218" s="771"/>
    </row>
    <row r="219" spans="1:18" s="105" customFormat="1">
      <c r="A219" s="396"/>
      <c r="B219" s="110"/>
      <c r="C219" s="23"/>
      <c r="D219" s="264" t="s">
        <v>3</v>
      </c>
      <c r="E219" s="1239" t="s">
        <v>376</v>
      </c>
      <c r="F219" s="1239"/>
      <c r="G219" s="1239"/>
      <c r="H219" s="1239"/>
      <c r="I219" s="1239"/>
      <c r="J219" s="1239"/>
      <c r="K219" s="1239"/>
      <c r="L219" s="1260"/>
      <c r="M219" s="764"/>
      <c r="N219" s="1235">
        <v>29844.53</v>
      </c>
      <c r="O219" s="1236"/>
      <c r="P219" s="764"/>
    </row>
    <row r="220" spans="1:18" s="431" customFormat="1">
      <c r="A220" s="396"/>
      <c r="B220" s="110"/>
      <c r="C220" s="23"/>
      <c r="D220" s="264" t="s">
        <v>3</v>
      </c>
      <c r="E220" s="1239" t="s">
        <v>377</v>
      </c>
      <c r="F220" s="1239"/>
      <c r="G220" s="1239"/>
      <c r="H220" s="1239"/>
      <c r="I220" s="1239"/>
      <c r="J220" s="1239"/>
      <c r="K220" s="1239"/>
      <c r="L220" s="1260"/>
      <c r="M220" s="764"/>
      <c r="N220" s="1235">
        <v>26246.26</v>
      </c>
      <c r="O220" s="1236"/>
      <c r="P220" s="764"/>
    </row>
    <row r="221" spans="1:18" s="431" customFormat="1" ht="94.2" customHeight="1">
      <c r="A221" s="396"/>
      <c r="B221" s="110"/>
      <c r="C221" s="23"/>
      <c r="D221" s="264" t="s">
        <v>3</v>
      </c>
      <c r="E221" s="1239" t="s">
        <v>805</v>
      </c>
      <c r="F221" s="1239"/>
      <c r="G221" s="1239"/>
      <c r="H221" s="1239"/>
      <c r="I221" s="1239"/>
      <c r="J221" s="1239"/>
      <c r="K221" s="1239"/>
      <c r="L221" s="1260"/>
      <c r="M221" s="764"/>
      <c r="N221" s="1235">
        <v>11240.86</v>
      </c>
      <c r="O221" s="1236"/>
      <c r="P221" s="764"/>
    </row>
    <row r="222" spans="1:18" s="431" customFormat="1">
      <c r="A222" s="396"/>
      <c r="B222" s="110"/>
      <c r="C222" s="23"/>
      <c r="D222" s="264" t="s">
        <v>3</v>
      </c>
      <c r="E222" s="1239" t="s">
        <v>378</v>
      </c>
      <c r="F222" s="1239"/>
      <c r="G222" s="1239"/>
      <c r="H222" s="1239"/>
      <c r="I222" s="1239"/>
      <c r="J222" s="1239"/>
      <c r="K222" s="1239"/>
      <c r="L222" s="1260"/>
      <c r="M222" s="764"/>
      <c r="N222" s="1235">
        <v>3607.12</v>
      </c>
      <c r="O222" s="1236"/>
      <c r="P222" s="764"/>
    </row>
    <row r="223" spans="1:18" s="431" customFormat="1">
      <c r="A223" s="396"/>
      <c r="B223" s="110"/>
      <c r="C223" s="23"/>
      <c r="D223" s="264" t="s">
        <v>3</v>
      </c>
      <c r="E223" s="1239" t="s">
        <v>379</v>
      </c>
      <c r="F223" s="1239"/>
      <c r="G223" s="1239"/>
      <c r="H223" s="1239"/>
      <c r="I223" s="1239"/>
      <c r="J223" s="1239"/>
      <c r="K223" s="1239"/>
      <c r="L223" s="1260"/>
      <c r="M223" s="764"/>
      <c r="N223" s="1235">
        <v>3420.73</v>
      </c>
      <c r="O223" s="1236"/>
      <c r="P223" s="764"/>
    </row>
    <row r="224" spans="1:18" s="431" customFormat="1" ht="85.2" customHeight="1">
      <c r="A224" s="396"/>
      <c r="B224" s="110"/>
      <c r="C224" s="23"/>
      <c r="D224" s="264" t="s">
        <v>3</v>
      </c>
      <c r="E224" s="1239" t="s">
        <v>806</v>
      </c>
      <c r="F224" s="1239"/>
      <c r="G224" s="1239"/>
      <c r="H224" s="1239"/>
      <c r="I224" s="1239"/>
      <c r="J224" s="1239"/>
      <c r="K224" s="1239"/>
      <c r="L224" s="1260"/>
      <c r="M224" s="764"/>
      <c r="N224" s="1235">
        <v>10145.19</v>
      </c>
      <c r="O224" s="1236"/>
      <c r="P224" s="764"/>
    </row>
    <row r="225" spans="1:16" s="431" customFormat="1">
      <c r="A225" s="396"/>
      <c r="B225" s="110"/>
      <c r="C225" s="23"/>
      <c r="D225" s="264" t="s">
        <v>3</v>
      </c>
      <c r="E225" s="1239" t="s">
        <v>807</v>
      </c>
      <c r="F225" s="1239"/>
      <c r="G225" s="1239"/>
      <c r="H225" s="1239"/>
      <c r="I225" s="1239"/>
      <c r="J225" s="1239"/>
      <c r="K225" s="1239"/>
      <c r="L225" s="1260"/>
      <c r="M225" s="764"/>
      <c r="N225" s="1235">
        <v>517.6</v>
      </c>
      <c r="O225" s="1236"/>
      <c r="P225" s="764"/>
    </row>
    <row r="226" spans="1:16" s="431" customFormat="1">
      <c r="A226" s="396"/>
      <c r="B226" s="110"/>
      <c r="C226" s="23"/>
      <c r="D226" s="264" t="s">
        <v>3</v>
      </c>
      <c r="E226" s="1239" t="s">
        <v>808</v>
      </c>
      <c r="F226" s="1239"/>
      <c r="G226" s="1239"/>
      <c r="H226" s="1239"/>
      <c r="I226" s="1239"/>
      <c r="J226" s="1239"/>
      <c r="K226" s="1239"/>
      <c r="L226" s="1260"/>
      <c r="M226" s="764"/>
      <c r="N226" s="1235">
        <v>290</v>
      </c>
      <c r="O226" s="1236"/>
      <c r="P226" s="764"/>
    </row>
    <row r="227" spans="1:16" s="431" customFormat="1">
      <c r="A227" s="396"/>
      <c r="B227" s="110"/>
      <c r="C227" s="23"/>
      <c r="D227" s="264" t="s">
        <v>3</v>
      </c>
      <c r="E227" s="1239" t="s">
        <v>809</v>
      </c>
      <c r="F227" s="1239"/>
      <c r="G227" s="1239"/>
      <c r="H227" s="1239"/>
      <c r="I227" s="1239"/>
      <c r="J227" s="1239"/>
      <c r="K227" s="1239"/>
      <c r="L227" s="1260"/>
      <c r="M227" s="764"/>
      <c r="N227" s="1235">
        <v>3590.98</v>
      </c>
      <c r="O227" s="1236"/>
      <c r="P227" s="764"/>
    </row>
    <row r="228" spans="1:16" s="431" customFormat="1">
      <c r="A228" s="396"/>
      <c r="B228" s="110"/>
      <c r="C228" s="23"/>
      <c r="D228" s="264" t="s">
        <v>3</v>
      </c>
      <c r="E228" s="1239" t="s">
        <v>810</v>
      </c>
      <c r="F228" s="1239"/>
      <c r="G228" s="1239"/>
      <c r="H228" s="1239"/>
      <c r="I228" s="1239"/>
      <c r="J228" s="1239"/>
      <c r="K228" s="1239"/>
      <c r="L228" s="1260"/>
      <c r="M228" s="764"/>
      <c r="N228" s="1235">
        <v>10400.83</v>
      </c>
      <c r="O228" s="1236"/>
      <c r="P228" s="764"/>
    </row>
    <row r="229" spans="1:16" s="431" customFormat="1">
      <c r="A229" s="396"/>
      <c r="B229" s="110"/>
      <c r="C229" s="23"/>
      <c r="D229" s="264" t="s">
        <v>3</v>
      </c>
      <c r="E229" s="1239" t="s">
        <v>811</v>
      </c>
      <c r="F229" s="1239"/>
      <c r="G229" s="1239"/>
      <c r="H229" s="1239"/>
      <c r="I229" s="1239"/>
      <c r="J229" s="1239"/>
      <c r="K229" s="1239"/>
      <c r="L229" s="1260"/>
      <c r="M229" s="764"/>
      <c r="N229" s="1235">
        <v>696.8</v>
      </c>
      <c r="O229" s="1236"/>
      <c r="P229" s="764"/>
    </row>
    <row r="230" spans="1:16" s="431" customFormat="1">
      <c r="A230" s="396"/>
      <c r="B230" s="110"/>
      <c r="C230" s="23"/>
      <c r="D230" s="264" t="s">
        <v>3</v>
      </c>
      <c r="E230" s="1239" t="s">
        <v>812</v>
      </c>
      <c r="F230" s="1239"/>
      <c r="G230" s="1239"/>
      <c r="H230" s="1239"/>
      <c r="I230" s="1239"/>
      <c r="J230" s="1239"/>
      <c r="K230" s="1239"/>
      <c r="L230" s="1260"/>
      <c r="M230" s="764"/>
      <c r="N230" s="1235">
        <v>664.59</v>
      </c>
      <c r="O230" s="1236"/>
      <c r="P230" s="764"/>
    </row>
    <row r="231" spans="1:16" s="431" customFormat="1" ht="59.4" customHeight="1">
      <c r="A231" s="396"/>
      <c r="B231" s="110"/>
      <c r="C231" s="23"/>
      <c r="D231" s="264" t="s">
        <v>3</v>
      </c>
      <c r="E231" s="1239" t="s">
        <v>380</v>
      </c>
      <c r="F231" s="1239"/>
      <c r="G231" s="1239"/>
      <c r="H231" s="1239"/>
      <c r="I231" s="1239"/>
      <c r="J231" s="1239"/>
      <c r="K231" s="1239"/>
      <c r="L231" s="1260"/>
      <c r="M231" s="764"/>
      <c r="N231" s="1235">
        <v>5592.38</v>
      </c>
      <c r="O231" s="1236"/>
      <c r="P231" s="764"/>
    </row>
    <row r="232" spans="1:16" s="431" customFormat="1" ht="83.4" customHeight="1">
      <c r="A232" s="396"/>
      <c r="B232" s="110"/>
      <c r="C232" s="23"/>
      <c r="D232" s="264" t="s">
        <v>3</v>
      </c>
      <c r="E232" s="1239" t="s">
        <v>813</v>
      </c>
      <c r="F232" s="1239"/>
      <c r="G232" s="1239"/>
      <c r="H232" s="1239"/>
      <c r="I232" s="1239"/>
      <c r="J232" s="1239"/>
      <c r="K232" s="1239"/>
      <c r="L232" s="1260"/>
      <c r="M232" s="764"/>
      <c r="N232" s="1235">
        <v>3245.97</v>
      </c>
      <c r="O232" s="1236"/>
      <c r="P232" s="764"/>
    </row>
    <row r="233" spans="1:16" s="431" customFormat="1" ht="58.2" customHeight="1">
      <c r="A233" s="396"/>
      <c r="B233" s="110"/>
      <c r="C233" s="23"/>
      <c r="D233" s="264" t="s">
        <v>3</v>
      </c>
      <c r="E233" s="1239" t="s">
        <v>895</v>
      </c>
      <c r="F233" s="1239"/>
      <c r="G233" s="1239"/>
      <c r="H233" s="1239"/>
      <c r="I233" s="1239"/>
      <c r="J233" s="1239"/>
      <c r="K233" s="1239"/>
      <c r="L233" s="1260"/>
      <c r="M233" s="764"/>
      <c r="N233" s="1235">
        <v>0</v>
      </c>
      <c r="O233" s="1236"/>
      <c r="P233" s="764"/>
    </row>
    <row r="234" spans="1:16" s="431" customFormat="1" ht="81" customHeight="1">
      <c r="A234" s="396"/>
      <c r="B234" s="110"/>
      <c r="C234" s="23"/>
      <c r="D234" s="264" t="s">
        <v>3</v>
      </c>
      <c r="E234" s="1239" t="s">
        <v>896</v>
      </c>
      <c r="F234" s="1239"/>
      <c r="G234" s="1239"/>
      <c r="H234" s="1239"/>
      <c r="I234" s="1239"/>
      <c r="J234" s="1239"/>
      <c r="K234" s="1239"/>
      <c r="L234" s="1260"/>
      <c r="M234" s="764"/>
      <c r="N234" s="1235">
        <v>0</v>
      </c>
      <c r="O234" s="1236"/>
      <c r="P234" s="764"/>
    </row>
    <row r="235" spans="1:16" s="431" customFormat="1" ht="45.6">
      <c r="A235" s="396"/>
      <c r="B235" s="110"/>
      <c r="C235" s="23"/>
      <c r="D235" s="264" t="s">
        <v>3</v>
      </c>
      <c r="E235" s="1239" t="s">
        <v>897</v>
      </c>
      <c r="F235" s="1239"/>
      <c r="G235" s="1239"/>
      <c r="H235" s="1239"/>
      <c r="I235" s="1239"/>
      <c r="J235" s="1239"/>
      <c r="K235" s="1239"/>
      <c r="L235" s="1260"/>
      <c r="M235" s="764"/>
      <c r="N235" s="1235">
        <v>0</v>
      </c>
      <c r="O235" s="1236"/>
      <c r="P235" s="764"/>
    </row>
    <row r="236" spans="1:16" s="431" customFormat="1">
      <c r="A236" s="396"/>
      <c r="B236" s="110"/>
      <c r="C236" s="23"/>
      <c r="D236" s="264" t="s">
        <v>3</v>
      </c>
      <c r="E236" s="1239" t="s">
        <v>381</v>
      </c>
      <c r="F236" s="1239"/>
      <c r="G236" s="1239"/>
      <c r="H236" s="1239"/>
      <c r="I236" s="1239"/>
      <c r="J236" s="1239"/>
      <c r="K236" s="1239"/>
      <c r="L236" s="1260"/>
      <c r="M236" s="764"/>
      <c r="N236" s="1235">
        <v>0</v>
      </c>
      <c r="O236" s="1236"/>
      <c r="P236" s="764"/>
    </row>
    <row r="237" spans="1:16" s="431" customFormat="1" ht="57" customHeight="1">
      <c r="A237" s="396"/>
      <c r="B237" s="110"/>
      <c r="C237" s="23"/>
      <c r="D237" s="264" t="s">
        <v>3</v>
      </c>
      <c r="E237" s="1239" t="s">
        <v>814</v>
      </c>
      <c r="F237" s="1239"/>
      <c r="G237" s="1239"/>
      <c r="H237" s="1239"/>
      <c r="I237" s="1239"/>
      <c r="J237" s="1239"/>
      <c r="K237" s="1239"/>
      <c r="L237" s="1260"/>
      <c r="M237" s="764"/>
      <c r="N237" s="1235">
        <v>17811.63</v>
      </c>
      <c r="O237" s="1236"/>
      <c r="P237" s="764"/>
    </row>
    <row r="238" spans="1:16" s="431" customFormat="1" ht="61.8" customHeight="1">
      <c r="A238" s="396"/>
      <c r="B238" s="110"/>
      <c r="C238" s="23"/>
      <c r="D238" s="264" t="s">
        <v>3</v>
      </c>
      <c r="E238" s="1239" t="s">
        <v>815</v>
      </c>
      <c r="F238" s="1239"/>
      <c r="G238" s="1239"/>
      <c r="H238" s="1239"/>
      <c r="I238" s="1239"/>
      <c r="J238" s="1239"/>
      <c r="K238" s="1239"/>
      <c r="L238" s="1260"/>
      <c r="M238" s="764"/>
      <c r="N238" s="1235">
        <v>6273</v>
      </c>
      <c r="O238" s="1236"/>
      <c r="P238" s="764"/>
    </row>
    <row r="239" spans="1:16" s="431" customFormat="1" ht="58.2" customHeight="1">
      <c r="A239" s="396"/>
      <c r="B239" s="110"/>
      <c r="C239" s="23"/>
      <c r="D239" s="264" t="s">
        <v>3</v>
      </c>
      <c r="E239" s="1239" t="s">
        <v>816</v>
      </c>
      <c r="F239" s="1239"/>
      <c r="G239" s="1239"/>
      <c r="H239" s="1239"/>
      <c r="I239" s="1239"/>
      <c r="J239" s="1239"/>
      <c r="K239" s="1239"/>
      <c r="L239" s="1260"/>
      <c r="M239" s="764"/>
      <c r="N239" s="1235">
        <v>369.91</v>
      </c>
      <c r="O239" s="1236"/>
      <c r="P239" s="764"/>
    </row>
    <row r="240" spans="1:16" s="431" customFormat="1">
      <c r="A240" s="396"/>
      <c r="B240" s="110"/>
      <c r="C240" s="23"/>
      <c r="D240" s="264" t="s">
        <v>3</v>
      </c>
      <c r="E240" s="1239" t="s">
        <v>817</v>
      </c>
      <c r="F240" s="1239"/>
      <c r="G240" s="1239"/>
      <c r="H240" s="1239"/>
      <c r="I240" s="1239"/>
      <c r="J240" s="1239"/>
      <c r="K240" s="1239"/>
      <c r="L240" s="1260"/>
      <c r="M240" s="764"/>
      <c r="N240" s="1235">
        <v>7377.43</v>
      </c>
      <c r="O240" s="1236"/>
      <c r="P240" s="764"/>
    </row>
    <row r="241" spans="1:16" s="431" customFormat="1">
      <c r="A241" s="396"/>
      <c r="B241" s="110"/>
      <c r="C241" s="23"/>
      <c r="D241" s="264" t="s">
        <v>3</v>
      </c>
      <c r="E241" s="1239" t="s">
        <v>818</v>
      </c>
      <c r="F241" s="1239"/>
      <c r="G241" s="1239"/>
      <c r="H241" s="1239"/>
      <c r="I241" s="1239"/>
      <c r="J241" s="1239"/>
      <c r="K241" s="1239"/>
      <c r="L241" s="1260"/>
      <c r="M241" s="764"/>
      <c r="N241" s="1235">
        <v>40464.21</v>
      </c>
      <c r="O241" s="1236"/>
      <c r="P241" s="764"/>
    </row>
    <row r="242" spans="1:16" s="431" customFormat="1">
      <c r="A242" s="396"/>
      <c r="B242" s="110"/>
      <c r="C242" s="23"/>
      <c r="D242" s="264" t="s">
        <v>3</v>
      </c>
      <c r="E242" s="1239" t="s">
        <v>382</v>
      </c>
      <c r="F242" s="1239"/>
      <c r="G242" s="1239"/>
      <c r="H242" s="1239"/>
      <c r="I242" s="1239"/>
      <c r="J242" s="1239"/>
      <c r="K242" s="1239"/>
      <c r="L242" s="1260"/>
      <c r="M242" s="764"/>
      <c r="N242" s="1235">
        <v>3677.88</v>
      </c>
      <c r="O242" s="1236"/>
      <c r="P242" s="764"/>
    </row>
    <row r="243" spans="1:16" s="431" customFormat="1">
      <c r="A243" s="396"/>
      <c r="B243" s="110"/>
      <c r="C243" s="23"/>
      <c r="D243" s="264" t="s">
        <v>3</v>
      </c>
      <c r="E243" s="1239" t="s">
        <v>819</v>
      </c>
      <c r="F243" s="1239"/>
      <c r="G243" s="1239"/>
      <c r="H243" s="1239"/>
      <c r="I243" s="1239"/>
      <c r="J243" s="1239"/>
      <c r="K243" s="1239"/>
      <c r="L243" s="1260"/>
      <c r="M243" s="764"/>
      <c r="N243" s="1235">
        <v>4356.74</v>
      </c>
      <c r="O243" s="1236"/>
      <c r="P243" s="764"/>
    </row>
    <row r="244" spans="1:16" s="431" customFormat="1" ht="57" customHeight="1">
      <c r="A244" s="396"/>
      <c r="B244" s="110"/>
      <c r="C244" s="23"/>
      <c r="D244" s="264" t="s">
        <v>3</v>
      </c>
      <c r="E244" s="1239" t="s">
        <v>820</v>
      </c>
      <c r="F244" s="1239"/>
      <c r="G244" s="1239"/>
      <c r="H244" s="1239"/>
      <c r="I244" s="1239"/>
      <c r="J244" s="1239"/>
      <c r="K244" s="1239"/>
      <c r="L244" s="1260"/>
      <c r="M244" s="764"/>
      <c r="N244" s="1235">
        <v>3324.41</v>
      </c>
      <c r="O244" s="1236"/>
      <c r="P244" s="764"/>
    </row>
    <row r="245" spans="1:16" s="431" customFormat="1">
      <c r="A245" s="396"/>
      <c r="B245" s="110"/>
      <c r="C245" s="23"/>
      <c r="D245" s="264" t="s">
        <v>3</v>
      </c>
      <c r="E245" s="1239" t="s">
        <v>821</v>
      </c>
      <c r="F245" s="1239"/>
      <c r="G245" s="1239"/>
      <c r="H245" s="1239"/>
      <c r="I245" s="1239"/>
      <c r="J245" s="1239"/>
      <c r="K245" s="1239"/>
      <c r="L245" s="1260"/>
      <c r="M245" s="764"/>
      <c r="N245" s="1235">
        <v>14852</v>
      </c>
      <c r="O245" s="1236"/>
      <c r="P245" s="764"/>
    </row>
    <row r="246" spans="1:16" s="431" customFormat="1">
      <c r="A246" s="396"/>
      <c r="B246" s="110"/>
      <c r="C246" s="23"/>
      <c r="D246" s="264" t="s">
        <v>3</v>
      </c>
      <c r="E246" s="1239" t="s">
        <v>383</v>
      </c>
      <c r="F246" s="1239"/>
      <c r="G246" s="1239"/>
      <c r="H246" s="1239"/>
      <c r="I246" s="1239"/>
      <c r="J246" s="1239"/>
      <c r="K246" s="1239"/>
      <c r="L246" s="1261"/>
      <c r="M246" s="764"/>
      <c r="N246" s="1235">
        <v>0</v>
      </c>
      <c r="O246" s="1236"/>
      <c r="P246" s="764"/>
    </row>
    <row r="247" spans="1:16" s="415" customFormat="1" ht="61.2" customHeight="1">
      <c r="A247" s="650"/>
      <c r="B247" s="662"/>
      <c r="C247" s="580">
        <v>2</v>
      </c>
      <c r="D247" s="743"/>
      <c r="E247" s="744" t="s">
        <v>420</v>
      </c>
      <c r="F247" s="746"/>
      <c r="G247" s="747"/>
      <c r="H247" s="87">
        <v>85300</v>
      </c>
      <c r="I247" s="747"/>
      <c r="J247" s="745"/>
      <c r="K247" s="87">
        <v>0</v>
      </c>
      <c r="L247" s="87">
        <f t="shared" ref="L247:L249" si="69">SUM(F247:K247)</f>
        <v>85300</v>
      </c>
      <c r="M247" s="87">
        <v>85300</v>
      </c>
      <c r="N247" s="87">
        <v>0</v>
      </c>
      <c r="O247" s="875">
        <v>0</v>
      </c>
      <c r="P247" s="762" t="s">
        <v>286</v>
      </c>
    </row>
    <row r="248" spans="1:16" s="415" customFormat="1" ht="62.4" customHeight="1">
      <c r="A248" s="650"/>
      <c r="B248" s="662"/>
      <c r="C248" s="594">
        <v>3</v>
      </c>
      <c r="D248" s="1209"/>
      <c r="E248" s="1210" t="s">
        <v>389</v>
      </c>
      <c r="F248" s="1211"/>
      <c r="G248" s="1212"/>
      <c r="H248" s="1212"/>
      <c r="I248" s="1212"/>
      <c r="J248" s="1213"/>
      <c r="K248" s="563">
        <v>20000</v>
      </c>
      <c r="L248" s="563">
        <f t="shared" si="69"/>
        <v>20000</v>
      </c>
      <c r="M248" s="563">
        <v>18000</v>
      </c>
      <c r="N248" s="563">
        <v>6435</v>
      </c>
      <c r="O248" s="872">
        <f t="shared" ref="O248:O261" si="70">N248/M248</f>
        <v>0.35749999999999998</v>
      </c>
      <c r="P248" s="762" t="s">
        <v>286</v>
      </c>
    </row>
    <row r="249" spans="1:16" s="79" customFormat="1" ht="63" customHeight="1">
      <c r="A249" s="573"/>
      <c r="B249" s="172"/>
      <c r="C249" s="353">
        <v>4</v>
      </c>
      <c r="D249" s="352"/>
      <c r="E249" s="88" t="s">
        <v>165</v>
      </c>
      <c r="F249" s="221"/>
      <c r="G249" s="87"/>
      <c r="H249" s="87"/>
      <c r="I249" s="87"/>
      <c r="J249" s="87"/>
      <c r="K249" s="87">
        <v>7000</v>
      </c>
      <c r="L249" s="87">
        <f t="shared" si="69"/>
        <v>7000</v>
      </c>
      <c r="M249" s="87">
        <v>7000</v>
      </c>
      <c r="N249" s="87">
        <v>3601</v>
      </c>
      <c r="O249" s="879">
        <f t="shared" si="70"/>
        <v>0.51442857142857146</v>
      </c>
      <c r="P249" s="760" t="s">
        <v>286</v>
      </c>
    </row>
    <row r="250" spans="1:16" s="79" customFormat="1" ht="42.6" customHeight="1">
      <c r="A250" s="573"/>
      <c r="B250" s="172"/>
      <c r="C250" s="353">
        <v>5</v>
      </c>
      <c r="D250" s="352"/>
      <c r="E250" s="88" t="s">
        <v>106</v>
      </c>
      <c r="F250" s="221"/>
      <c r="G250" s="87"/>
      <c r="H250" s="87"/>
      <c r="I250" s="87"/>
      <c r="J250" s="87"/>
      <c r="K250" s="87">
        <v>28000</v>
      </c>
      <c r="L250" s="87">
        <f t="shared" ref="L250:L258" si="71">SUM(F250:K250)</f>
        <v>28000</v>
      </c>
      <c r="M250" s="87">
        <v>28000</v>
      </c>
      <c r="N250" s="87">
        <v>10200</v>
      </c>
      <c r="O250" s="879">
        <f t="shared" si="70"/>
        <v>0.36428571428571427</v>
      </c>
      <c r="P250" s="760" t="s">
        <v>286</v>
      </c>
    </row>
    <row r="251" spans="1:16" s="79" customFormat="1" ht="90" customHeight="1">
      <c r="A251" s="573"/>
      <c r="B251" s="172"/>
      <c r="C251" s="353">
        <v>6</v>
      </c>
      <c r="D251" s="352"/>
      <c r="E251" s="88" t="s">
        <v>237</v>
      </c>
      <c r="F251" s="221"/>
      <c r="G251" s="87"/>
      <c r="H251" s="87"/>
      <c r="I251" s="87"/>
      <c r="J251" s="87"/>
      <c r="K251" s="87">
        <v>20000</v>
      </c>
      <c r="L251" s="87">
        <f t="shared" si="71"/>
        <v>20000</v>
      </c>
      <c r="M251" s="87">
        <v>20000</v>
      </c>
      <c r="N251" s="87">
        <v>5195.74</v>
      </c>
      <c r="O251" s="879">
        <f t="shared" si="70"/>
        <v>0.25978699999999999</v>
      </c>
      <c r="P251" s="760" t="s">
        <v>286</v>
      </c>
    </row>
    <row r="252" spans="1:16" s="79" customFormat="1" ht="42.6" customHeight="1">
      <c r="A252" s="573"/>
      <c r="B252" s="172"/>
      <c r="C252" s="353">
        <v>7</v>
      </c>
      <c r="D252" s="352"/>
      <c r="E252" s="88" t="s">
        <v>105</v>
      </c>
      <c r="F252" s="221"/>
      <c r="G252" s="87"/>
      <c r="H252" s="87"/>
      <c r="I252" s="87"/>
      <c r="J252" s="87"/>
      <c r="K252" s="87">
        <v>5000</v>
      </c>
      <c r="L252" s="87">
        <f t="shared" si="71"/>
        <v>5000</v>
      </c>
      <c r="M252" s="87">
        <v>5000</v>
      </c>
      <c r="N252" s="87">
        <v>316</v>
      </c>
      <c r="O252" s="879">
        <f t="shared" si="70"/>
        <v>6.3200000000000006E-2</v>
      </c>
      <c r="P252" s="760" t="s">
        <v>286</v>
      </c>
    </row>
    <row r="253" spans="1:16" s="79" customFormat="1" ht="113.25" customHeight="1">
      <c r="A253" s="573"/>
      <c r="B253" s="172"/>
      <c r="C253" s="353">
        <v>8</v>
      </c>
      <c r="D253" s="352"/>
      <c r="E253" s="88" t="s">
        <v>206</v>
      </c>
      <c r="F253" s="221"/>
      <c r="G253" s="87"/>
      <c r="H253" s="87"/>
      <c r="I253" s="87"/>
      <c r="J253" s="87"/>
      <c r="K253" s="87">
        <v>7000</v>
      </c>
      <c r="L253" s="87">
        <f t="shared" si="71"/>
        <v>7000</v>
      </c>
      <c r="M253" s="87">
        <v>7000</v>
      </c>
      <c r="N253" s="87">
        <v>964.93</v>
      </c>
      <c r="O253" s="879">
        <f t="shared" si="70"/>
        <v>0.13784714285714286</v>
      </c>
      <c r="P253" s="760" t="s">
        <v>286</v>
      </c>
    </row>
    <row r="254" spans="1:16" s="79" customFormat="1" ht="69.75" customHeight="1">
      <c r="A254" s="573"/>
      <c r="B254" s="172"/>
      <c r="C254" s="353">
        <v>9</v>
      </c>
      <c r="D254" s="352"/>
      <c r="E254" s="88" t="s">
        <v>199</v>
      </c>
      <c r="F254" s="221"/>
      <c r="G254" s="87"/>
      <c r="H254" s="87"/>
      <c r="I254" s="87"/>
      <c r="J254" s="87"/>
      <c r="K254" s="87">
        <v>10000</v>
      </c>
      <c r="L254" s="87">
        <f t="shared" si="71"/>
        <v>10000</v>
      </c>
      <c r="M254" s="87">
        <v>10000</v>
      </c>
      <c r="N254" s="87">
        <f>3328.75+89.9</f>
        <v>3418.65</v>
      </c>
      <c r="O254" s="879">
        <f t="shared" si="70"/>
        <v>0.34186500000000003</v>
      </c>
      <c r="P254" s="760" t="s">
        <v>286</v>
      </c>
    </row>
    <row r="255" spans="1:16" s="97" customFormat="1" ht="47.4" customHeight="1">
      <c r="A255" s="573"/>
      <c r="B255" s="172"/>
      <c r="C255" s="353">
        <v>10</v>
      </c>
      <c r="D255" s="352"/>
      <c r="E255" s="88" t="s">
        <v>104</v>
      </c>
      <c r="F255" s="221"/>
      <c r="G255" s="87"/>
      <c r="H255" s="87"/>
      <c r="I255" s="87"/>
      <c r="J255" s="87"/>
      <c r="K255" s="87">
        <v>36000</v>
      </c>
      <c r="L255" s="87">
        <f t="shared" si="71"/>
        <v>36000</v>
      </c>
      <c r="M255" s="87">
        <v>36000</v>
      </c>
      <c r="N255" s="87">
        <v>13800</v>
      </c>
      <c r="O255" s="879">
        <f t="shared" si="70"/>
        <v>0.38333333333333336</v>
      </c>
      <c r="P255" s="762" t="s">
        <v>286</v>
      </c>
    </row>
    <row r="256" spans="1:16" s="415" customFormat="1" ht="79.2" customHeight="1">
      <c r="A256" s="573"/>
      <c r="B256" s="172"/>
      <c r="C256" s="353">
        <v>11</v>
      </c>
      <c r="D256" s="352"/>
      <c r="E256" s="88" t="s">
        <v>341</v>
      </c>
      <c r="F256" s="221"/>
      <c r="G256" s="87"/>
      <c r="H256" s="87"/>
      <c r="I256" s="87"/>
      <c r="J256" s="87"/>
      <c r="K256" s="87">
        <v>15000</v>
      </c>
      <c r="L256" s="87">
        <f t="shared" ref="L256" si="72">SUM(F256:K256)</f>
        <v>15000</v>
      </c>
      <c r="M256" s="87">
        <v>15000</v>
      </c>
      <c r="N256" s="87">
        <v>0</v>
      </c>
      <c r="O256" s="879">
        <f t="shared" si="70"/>
        <v>0</v>
      </c>
      <c r="P256" s="762" t="s">
        <v>286</v>
      </c>
    </row>
    <row r="257" spans="1:18" s="97" customFormat="1" ht="69" customHeight="1">
      <c r="A257" s="573"/>
      <c r="B257" s="172"/>
      <c r="C257" s="353">
        <v>12</v>
      </c>
      <c r="D257" s="352"/>
      <c r="E257" s="88" t="s">
        <v>103</v>
      </c>
      <c r="F257" s="221"/>
      <c r="G257" s="87"/>
      <c r="H257" s="87"/>
      <c r="I257" s="87"/>
      <c r="J257" s="87"/>
      <c r="K257" s="87">
        <v>22000</v>
      </c>
      <c r="L257" s="87">
        <f t="shared" si="71"/>
        <v>22000</v>
      </c>
      <c r="M257" s="87">
        <v>22000</v>
      </c>
      <c r="N257" s="87">
        <v>7500</v>
      </c>
      <c r="O257" s="879">
        <f t="shared" si="70"/>
        <v>0.34090909090909088</v>
      </c>
      <c r="P257" s="762" t="s">
        <v>286</v>
      </c>
    </row>
    <row r="258" spans="1:18" s="415" customFormat="1" ht="85.8" customHeight="1">
      <c r="A258" s="693"/>
      <c r="B258" s="694"/>
      <c r="C258" s="850">
        <v>13</v>
      </c>
      <c r="D258" s="851"/>
      <c r="E258" s="830" t="s">
        <v>359</v>
      </c>
      <c r="F258" s="706"/>
      <c r="G258" s="706"/>
      <c r="H258" s="706"/>
      <c r="I258" s="706"/>
      <c r="J258" s="706"/>
      <c r="K258" s="706">
        <v>15000</v>
      </c>
      <c r="L258" s="666">
        <f t="shared" si="71"/>
        <v>15000</v>
      </c>
      <c r="M258" s="666">
        <v>15000</v>
      </c>
      <c r="N258" s="666">
        <v>10800</v>
      </c>
      <c r="O258" s="874">
        <f t="shared" si="70"/>
        <v>0.72</v>
      </c>
      <c r="P258" s="762" t="s">
        <v>286</v>
      </c>
    </row>
    <row r="259" spans="1:18" s="415" customFormat="1" ht="54" customHeight="1">
      <c r="A259" s="573"/>
      <c r="B259" s="172"/>
      <c r="C259" s="353">
        <v>14</v>
      </c>
      <c r="D259" s="352"/>
      <c r="E259" s="88" t="s">
        <v>822</v>
      </c>
      <c r="F259" s="221"/>
      <c r="G259" s="87"/>
      <c r="H259" s="87"/>
      <c r="I259" s="87"/>
      <c r="J259" s="87"/>
      <c r="K259" s="87">
        <v>22000</v>
      </c>
      <c r="L259" s="87">
        <v>0</v>
      </c>
      <c r="M259" s="87">
        <v>82000</v>
      </c>
      <c r="N259" s="87">
        <v>29520</v>
      </c>
      <c r="O259" s="879">
        <f t="shared" si="70"/>
        <v>0.36</v>
      </c>
      <c r="P259" s="762" t="s">
        <v>286</v>
      </c>
    </row>
    <row r="260" spans="1:18" s="330" customFormat="1" ht="63" customHeight="1">
      <c r="A260" s="488"/>
      <c r="B260" s="476">
        <v>75075</v>
      </c>
      <c r="C260" s="248"/>
      <c r="D260" s="247"/>
      <c r="E260" s="331" t="s">
        <v>102</v>
      </c>
      <c r="F260" s="504">
        <f>F261</f>
        <v>0</v>
      </c>
      <c r="G260" s="504">
        <f>G261</f>
        <v>0</v>
      </c>
      <c r="H260" s="504">
        <f>H261</f>
        <v>0</v>
      </c>
      <c r="I260" s="504">
        <f>I261</f>
        <v>0</v>
      </c>
      <c r="J260" s="504">
        <f>J261</f>
        <v>0</v>
      </c>
      <c r="K260" s="504">
        <f>K261+K265</f>
        <v>30000</v>
      </c>
      <c r="L260" s="95">
        <f t="shared" ref="L260:L261" si="73">SUM(F260:K260)</f>
        <v>30000</v>
      </c>
      <c r="M260" s="95">
        <f>M261+M265</f>
        <v>30000</v>
      </c>
      <c r="N260" s="95">
        <f>N261+N265</f>
        <v>2737.11</v>
      </c>
      <c r="O260" s="868">
        <f t="shared" si="70"/>
        <v>9.1236999999999999E-2</v>
      </c>
      <c r="P260" s="763" t="s">
        <v>286</v>
      </c>
    </row>
    <row r="261" spans="1:18" s="481" customFormat="1" ht="68.25" customHeight="1">
      <c r="A261" s="412"/>
      <c r="B261" s="342"/>
      <c r="C261" s="341">
        <v>1</v>
      </c>
      <c r="D261" s="340"/>
      <c r="E261" s="339" t="s">
        <v>101</v>
      </c>
      <c r="F261" s="338"/>
      <c r="G261" s="505"/>
      <c r="H261" s="338"/>
      <c r="I261" s="505"/>
      <c r="J261" s="338"/>
      <c r="K261" s="506">
        <v>30000</v>
      </c>
      <c r="L261" s="338">
        <f t="shared" si="73"/>
        <v>30000</v>
      </c>
      <c r="M261" s="338">
        <v>12000</v>
      </c>
      <c r="N261" s="338">
        <f>SUM(N263:N264)</f>
        <v>2737.11</v>
      </c>
      <c r="O261" s="892">
        <f t="shared" si="70"/>
        <v>0.2280925</v>
      </c>
      <c r="P261" s="772" t="s">
        <v>286</v>
      </c>
    </row>
    <row r="262" spans="1:18" s="105" customFormat="1" ht="33" customHeight="1">
      <c r="A262" s="396"/>
      <c r="B262" s="110"/>
      <c r="C262" s="23"/>
      <c r="D262" s="264"/>
      <c r="E262" s="350" t="s">
        <v>16</v>
      </c>
      <c r="F262" s="507"/>
      <c r="G262" s="508"/>
      <c r="H262" s="508"/>
      <c r="I262" s="508"/>
      <c r="J262" s="508"/>
      <c r="K262" s="509"/>
      <c r="L262" s="604"/>
      <c r="M262" s="604"/>
      <c r="N262" s="604"/>
      <c r="O262" s="893"/>
      <c r="P262" s="764"/>
    </row>
    <row r="263" spans="1:18" s="105" customFormat="1" ht="66" customHeight="1">
      <c r="A263" s="396"/>
      <c r="B263" s="110"/>
      <c r="C263" s="23"/>
      <c r="D263" s="349" t="s">
        <v>3</v>
      </c>
      <c r="E263" s="347" t="s">
        <v>792</v>
      </c>
      <c r="F263" s="507"/>
      <c r="G263" s="508"/>
      <c r="H263" s="508"/>
      <c r="I263" s="508"/>
      <c r="J263" s="508"/>
      <c r="K263" s="608">
        <v>15000</v>
      </c>
      <c r="L263" s="609"/>
      <c r="M263" s="609"/>
      <c r="N263" s="609">
        <v>2290</v>
      </c>
      <c r="O263" s="894"/>
      <c r="P263" s="764"/>
    </row>
    <row r="264" spans="1:18" s="322" customFormat="1" ht="45" customHeight="1">
      <c r="A264" s="396"/>
      <c r="B264" s="110"/>
      <c r="C264" s="23"/>
      <c r="D264" s="349" t="s">
        <v>3</v>
      </c>
      <c r="E264" s="348" t="s">
        <v>793</v>
      </c>
      <c r="F264" s="510"/>
      <c r="G264" s="508"/>
      <c r="H264" s="508"/>
      <c r="I264" s="508"/>
      <c r="J264" s="508"/>
      <c r="K264" s="610">
        <v>15000</v>
      </c>
      <c r="L264" s="609"/>
      <c r="M264" s="609"/>
      <c r="N264" s="609">
        <v>447.11</v>
      </c>
      <c r="O264" s="894"/>
      <c r="P264" s="763"/>
    </row>
    <row r="265" spans="1:18" s="322" customFormat="1" ht="60" customHeight="1">
      <c r="A265" s="652"/>
      <c r="B265" s="657"/>
      <c r="C265" s="594">
        <v>2</v>
      </c>
      <c r="D265" s="655"/>
      <c r="E265" s="667" t="s">
        <v>370</v>
      </c>
      <c r="F265" s="668"/>
      <c r="G265" s="669"/>
      <c r="H265" s="669"/>
      <c r="I265" s="669"/>
      <c r="J265" s="669"/>
      <c r="K265" s="671">
        <f>17000-17000</f>
        <v>0</v>
      </c>
      <c r="L265" s="671">
        <f t="shared" ref="L265" si="74">SUM(F265:K265)</f>
        <v>0</v>
      </c>
      <c r="M265" s="671">
        <v>18000</v>
      </c>
      <c r="N265" s="671">
        <v>0</v>
      </c>
      <c r="O265" s="895">
        <v>0</v>
      </c>
      <c r="P265" s="763" t="s">
        <v>286</v>
      </c>
    </row>
    <row r="266" spans="1:18" s="79" customFormat="1" ht="57.75" customHeight="1">
      <c r="A266" s="573"/>
      <c r="B266" s="78">
        <v>75085</v>
      </c>
      <c r="C266" s="77"/>
      <c r="D266" s="76"/>
      <c r="E266" s="75" t="s">
        <v>217</v>
      </c>
      <c r="F266" s="414">
        <f t="shared" ref="F266:K266" si="75">F267</f>
        <v>0</v>
      </c>
      <c r="G266" s="95">
        <f t="shared" si="75"/>
        <v>0</v>
      </c>
      <c r="H266" s="95">
        <f t="shared" si="75"/>
        <v>0</v>
      </c>
      <c r="I266" s="95">
        <f t="shared" si="75"/>
        <v>0</v>
      </c>
      <c r="J266" s="95">
        <f t="shared" si="75"/>
        <v>0</v>
      </c>
      <c r="K266" s="95">
        <f t="shared" si="75"/>
        <v>1620000</v>
      </c>
      <c r="L266" s="95">
        <f>L267</f>
        <v>1620000</v>
      </c>
      <c r="M266" s="95">
        <f t="shared" ref="M266:N266" si="76">M267</f>
        <v>1620000</v>
      </c>
      <c r="N266" s="95">
        <f t="shared" si="76"/>
        <v>724874.46</v>
      </c>
      <c r="O266" s="868">
        <f>N266/M266</f>
        <v>0.44745337037037036</v>
      </c>
      <c r="P266" s="760" t="s">
        <v>286</v>
      </c>
    </row>
    <row r="267" spans="1:18" s="438" customFormat="1" ht="66" customHeight="1">
      <c r="A267" s="558"/>
      <c r="B267" s="204"/>
      <c r="C267" s="485">
        <v>1</v>
      </c>
      <c r="D267" s="357"/>
      <c r="E267" s="327" t="s">
        <v>56</v>
      </c>
      <c r="F267" s="423"/>
      <c r="G267" s="423"/>
      <c r="H267" s="423"/>
      <c r="I267" s="423"/>
      <c r="J267" s="423"/>
      <c r="K267" s="392">
        <f>1447000+19000+20000+25611+3500+104889</f>
        <v>1620000</v>
      </c>
      <c r="L267" s="392">
        <f>L268+L276+L292</f>
        <v>1620000</v>
      </c>
      <c r="M267" s="392">
        <f t="shared" ref="M267:N267" si="77">M268+M276+M292</f>
        <v>1620000</v>
      </c>
      <c r="N267" s="392">
        <f t="shared" si="77"/>
        <v>724874.46</v>
      </c>
      <c r="O267" s="890">
        <f>N267/M267</f>
        <v>0.44745337037037036</v>
      </c>
      <c r="P267" s="761" t="s">
        <v>286</v>
      </c>
    </row>
    <row r="268" spans="1:18" s="435" customFormat="1" ht="47.25" customHeight="1">
      <c r="A268" s="705"/>
      <c r="B268" s="949"/>
      <c r="C268" s="463"/>
      <c r="D268" s="448"/>
      <c r="E268" s="950" t="s">
        <v>435</v>
      </c>
      <c r="F268" s="951"/>
      <c r="G268" s="952"/>
      <c r="H268" s="952"/>
      <c r="I268" s="952"/>
      <c r="J268" s="953"/>
      <c r="K268" s="954"/>
      <c r="L268" s="955">
        <v>1466000</v>
      </c>
      <c r="M268" s="955">
        <v>1459313</v>
      </c>
      <c r="N268" s="956">
        <f>SUM(N270:N275)</f>
        <v>642209.28999999992</v>
      </c>
      <c r="O268" s="932">
        <f t="shared" ref="O268" si="78">N268/M268</f>
        <v>0.44007645378338978</v>
      </c>
      <c r="P268" s="957" t="s">
        <v>286</v>
      </c>
      <c r="Q268" s="983"/>
      <c r="R268" s="958"/>
    </row>
    <row r="269" spans="1:18" s="444" customFormat="1" ht="34.5" customHeight="1">
      <c r="A269" s="672"/>
      <c r="B269" s="673"/>
      <c r="C269" s="454"/>
      <c r="D269" s="442"/>
      <c r="E269" s="959" t="s">
        <v>16</v>
      </c>
      <c r="F269" s="703"/>
      <c r="G269" s="704"/>
      <c r="H269" s="704"/>
      <c r="I269" s="704"/>
      <c r="J269" s="704"/>
      <c r="K269" s="389"/>
      <c r="L269" s="666"/>
      <c r="M269" s="666"/>
      <c r="N269" s="666"/>
      <c r="O269" s="874"/>
      <c r="P269" s="960"/>
      <c r="Q269" s="984"/>
      <c r="R269" s="961"/>
    </row>
    <row r="270" spans="1:18" s="444" customFormat="1" ht="46.05" customHeight="1">
      <c r="A270" s="672"/>
      <c r="B270" s="673"/>
      <c r="C270" s="454"/>
      <c r="D270" s="442"/>
      <c r="E270" s="962" t="s">
        <v>547</v>
      </c>
      <c r="F270" s="703"/>
      <c r="G270" s="704"/>
      <c r="H270" s="704"/>
      <c r="I270" s="704"/>
      <c r="J270" s="704"/>
      <c r="K270" s="389"/>
      <c r="L270" s="963"/>
      <c r="M270" s="963"/>
      <c r="N270" s="964">
        <v>445770.95</v>
      </c>
      <c r="O270" s="874"/>
      <c r="P270" s="960"/>
      <c r="Q270" s="984"/>
      <c r="R270" s="961"/>
    </row>
    <row r="271" spans="1:18" s="444" customFormat="1" ht="46.05" customHeight="1">
      <c r="A271" s="672"/>
      <c r="B271" s="673"/>
      <c r="C271" s="454"/>
      <c r="D271" s="442"/>
      <c r="E271" s="962" t="s">
        <v>532</v>
      </c>
      <c r="F271" s="703"/>
      <c r="G271" s="704"/>
      <c r="H271" s="704"/>
      <c r="I271" s="704"/>
      <c r="J271" s="704"/>
      <c r="K271" s="389"/>
      <c r="L271" s="963"/>
      <c r="M271" s="963"/>
      <c r="N271" s="964">
        <v>0</v>
      </c>
      <c r="O271" s="874"/>
      <c r="P271" s="960"/>
      <c r="Q271" s="984"/>
      <c r="R271" s="961"/>
    </row>
    <row r="272" spans="1:18" s="444" customFormat="1" ht="46.05" customHeight="1">
      <c r="A272" s="672"/>
      <c r="B272" s="673"/>
      <c r="C272" s="454"/>
      <c r="D272" s="442"/>
      <c r="E272" s="962" t="s">
        <v>533</v>
      </c>
      <c r="F272" s="703"/>
      <c r="G272" s="704"/>
      <c r="H272" s="704"/>
      <c r="I272" s="704"/>
      <c r="J272" s="704"/>
      <c r="K272" s="389"/>
      <c r="L272" s="963"/>
      <c r="M272" s="963"/>
      <c r="N272" s="964">
        <v>71428.5</v>
      </c>
      <c r="O272" s="874"/>
      <c r="P272" s="960"/>
      <c r="Q272" s="984"/>
      <c r="R272" s="961"/>
    </row>
    <row r="273" spans="1:19" s="444" customFormat="1" ht="46.05" customHeight="1">
      <c r="A273" s="672"/>
      <c r="B273" s="673"/>
      <c r="C273" s="454"/>
      <c r="D273" s="442"/>
      <c r="E273" s="962" t="s">
        <v>534</v>
      </c>
      <c r="F273" s="703"/>
      <c r="G273" s="704"/>
      <c r="H273" s="704"/>
      <c r="I273" s="704"/>
      <c r="J273" s="704"/>
      <c r="K273" s="389"/>
      <c r="L273" s="963"/>
      <c r="M273" s="963"/>
      <c r="N273" s="964">
        <v>9779.5</v>
      </c>
      <c r="O273" s="874"/>
      <c r="P273" s="960"/>
      <c r="Q273" s="984"/>
      <c r="R273" s="961"/>
      <c r="S273" s="444" t="s">
        <v>549</v>
      </c>
    </row>
    <row r="274" spans="1:19" s="444" customFormat="1" ht="46.05" customHeight="1">
      <c r="A274" s="672"/>
      <c r="B274" s="673"/>
      <c r="C274" s="454"/>
      <c r="D274" s="442"/>
      <c r="E274" s="962" t="s">
        <v>535</v>
      </c>
      <c r="F274" s="703"/>
      <c r="G274" s="704"/>
      <c r="H274" s="704"/>
      <c r="I274" s="704"/>
      <c r="J274" s="704"/>
      <c r="K274" s="389"/>
      <c r="L274" s="963"/>
      <c r="M274" s="963"/>
      <c r="N274" s="964">
        <v>27840</v>
      </c>
      <c r="O274" s="874"/>
      <c r="P274" s="960"/>
      <c r="Q274" s="984"/>
      <c r="R274" s="961"/>
      <c r="S274" s="444" t="s">
        <v>550</v>
      </c>
    </row>
    <row r="275" spans="1:19" s="444" customFormat="1" ht="46.05" customHeight="1">
      <c r="A275" s="672"/>
      <c r="B275" s="673"/>
      <c r="C275" s="454"/>
      <c r="D275" s="442"/>
      <c r="E275" s="962" t="s">
        <v>536</v>
      </c>
      <c r="F275" s="703"/>
      <c r="G275" s="704"/>
      <c r="H275" s="704"/>
      <c r="I275" s="704"/>
      <c r="J275" s="704"/>
      <c r="K275" s="389"/>
      <c r="L275" s="963"/>
      <c r="M275" s="963"/>
      <c r="N275" s="964">
        <v>87390.34</v>
      </c>
      <c r="O275" s="874"/>
      <c r="P275" s="960"/>
      <c r="Q275" s="984"/>
      <c r="R275" s="961"/>
    </row>
    <row r="276" spans="1:19" s="444" customFormat="1" ht="41.25" customHeight="1">
      <c r="A276" s="672"/>
      <c r="B276" s="673"/>
      <c r="C276" s="965"/>
      <c r="D276" s="442"/>
      <c r="E276" s="950" t="s">
        <v>446</v>
      </c>
      <c r="F276" s="955">
        <v>117300</v>
      </c>
      <c r="G276" s="955">
        <v>111778</v>
      </c>
      <c r="H276" s="955">
        <v>74715.13</v>
      </c>
      <c r="I276" s="704"/>
      <c r="J276" s="704"/>
      <c r="K276" s="532"/>
      <c r="L276" s="955">
        <v>154000</v>
      </c>
      <c r="M276" s="955">
        <v>160687</v>
      </c>
      <c r="N276" s="956">
        <f>SUM(N277:N289)</f>
        <v>82665.17</v>
      </c>
      <c r="O276" s="932">
        <f>N276/M276</f>
        <v>0.51444839968385747</v>
      </c>
      <c r="P276" s="960" t="s">
        <v>286</v>
      </c>
      <c r="Q276" s="984"/>
      <c r="R276" s="961"/>
    </row>
    <row r="277" spans="1:19" s="444" customFormat="1" ht="81" customHeight="1">
      <c r="A277" s="672"/>
      <c r="B277" s="673"/>
      <c r="C277" s="454"/>
      <c r="D277" s="442"/>
      <c r="E277" s="966" t="s">
        <v>447</v>
      </c>
      <c r="F277" s="967"/>
      <c r="G277" s="967"/>
      <c r="H277" s="967">
        <v>0</v>
      </c>
      <c r="I277" s="704"/>
      <c r="J277" s="704"/>
      <c r="K277" s="532"/>
      <c r="L277" s="967"/>
      <c r="M277" s="967"/>
      <c r="N277" s="968">
        <v>902.88</v>
      </c>
      <c r="O277" s="874"/>
      <c r="P277" s="960"/>
      <c r="Q277" s="984"/>
      <c r="R277" s="961"/>
    </row>
    <row r="278" spans="1:19" s="444" customFormat="1" ht="66" customHeight="1">
      <c r="A278" s="672"/>
      <c r="B278" s="673"/>
      <c r="C278" s="454"/>
      <c r="D278" s="442"/>
      <c r="E278" s="969" t="s">
        <v>548</v>
      </c>
      <c r="F278" s="967"/>
      <c r="G278" s="967"/>
      <c r="H278" s="967">
        <v>4300</v>
      </c>
      <c r="I278" s="704"/>
      <c r="J278" s="704"/>
      <c r="K278" s="532"/>
      <c r="L278" s="967"/>
      <c r="M278" s="967"/>
      <c r="N278" s="968">
        <v>1325.9</v>
      </c>
      <c r="O278" s="874"/>
      <c r="P278" s="960"/>
      <c r="Q278" s="984"/>
      <c r="R278" s="961"/>
    </row>
    <row r="279" spans="1:19" s="444" customFormat="1" ht="36" customHeight="1">
      <c r="A279" s="672"/>
      <c r="B279" s="673"/>
      <c r="C279" s="454"/>
      <c r="D279" s="442"/>
      <c r="E279" s="966" t="s">
        <v>537</v>
      </c>
      <c r="F279" s="967"/>
      <c r="G279" s="967"/>
      <c r="H279" s="967">
        <v>0</v>
      </c>
      <c r="I279" s="704"/>
      <c r="J279" s="704"/>
      <c r="K279" s="532"/>
      <c r="L279" s="967"/>
      <c r="M279" s="967"/>
      <c r="N279" s="968">
        <v>1113.04</v>
      </c>
      <c r="O279" s="874"/>
      <c r="P279" s="960"/>
      <c r="Q279" s="984"/>
      <c r="R279" s="961"/>
    </row>
    <row r="280" spans="1:19" s="444" customFormat="1" ht="63" customHeight="1">
      <c r="A280" s="672"/>
      <c r="B280" s="673"/>
      <c r="C280" s="454"/>
      <c r="D280" s="442"/>
      <c r="E280" s="966" t="s">
        <v>538</v>
      </c>
      <c r="F280" s="967"/>
      <c r="G280" s="967"/>
      <c r="H280" s="967">
        <v>0</v>
      </c>
      <c r="I280" s="704"/>
      <c r="J280" s="704"/>
      <c r="K280" s="532"/>
      <c r="L280" s="967"/>
      <c r="M280" s="967"/>
      <c r="N280" s="968">
        <v>0</v>
      </c>
      <c r="O280" s="874"/>
      <c r="P280" s="960"/>
      <c r="Q280" s="984"/>
      <c r="R280" s="961"/>
    </row>
    <row r="281" spans="1:19" s="444" customFormat="1" ht="46.05" customHeight="1">
      <c r="A281" s="672"/>
      <c r="B281" s="673"/>
      <c r="C281" s="454"/>
      <c r="D281" s="442"/>
      <c r="E281" s="966" t="s">
        <v>539</v>
      </c>
      <c r="F281" s="967"/>
      <c r="G281" s="967"/>
      <c r="H281" s="967">
        <v>0</v>
      </c>
      <c r="I281" s="704"/>
      <c r="J281" s="704"/>
      <c r="K281" s="532"/>
      <c r="L281" s="967"/>
      <c r="M281" s="967"/>
      <c r="N281" s="968">
        <v>1629.42</v>
      </c>
      <c r="O281" s="874"/>
      <c r="P281" s="960"/>
      <c r="Q281" s="984"/>
      <c r="R281" s="961"/>
    </row>
    <row r="282" spans="1:19" s="444" customFormat="1" ht="46.05" customHeight="1">
      <c r="A282" s="672"/>
      <c r="B282" s="673"/>
      <c r="C282" s="454"/>
      <c r="D282" s="442"/>
      <c r="E282" s="966" t="s">
        <v>540</v>
      </c>
      <c r="F282" s="967"/>
      <c r="G282" s="967"/>
      <c r="H282" s="967">
        <v>0</v>
      </c>
      <c r="I282" s="704"/>
      <c r="J282" s="704"/>
      <c r="K282" s="532"/>
      <c r="L282" s="967"/>
      <c r="M282" s="967"/>
      <c r="N282" s="968">
        <v>0</v>
      </c>
      <c r="O282" s="874"/>
      <c r="P282" s="960"/>
      <c r="Q282" s="984"/>
      <c r="R282" s="961"/>
    </row>
    <row r="283" spans="1:19" s="444" customFormat="1" ht="46.05" customHeight="1">
      <c r="A283" s="672"/>
      <c r="B283" s="673"/>
      <c r="C283" s="454"/>
      <c r="D283" s="442"/>
      <c r="E283" s="966" t="s">
        <v>541</v>
      </c>
      <c r="F283" s="970"/>
      <c r="G283" s="970"/>
      <c r="H283" s="967">
        <v>32231.32</v>
      </c>
      <c r="I283" s="704"/>
      <c r="J283" s="704"/>
      <c r="K283" s="532"/>
      <c r="L283" s="970"/>
      <c r="M283" s="970"/>
      <c r="N283" s="968">
        <v>12197.88</v>
      </c>
      <c r="O283" s="874"/>
      <c r="P283" s="960"/>
      <c r="Q283" s="984"/>
      <c r="R283" s="961"/>
    </row>
    <row r="284" spans="1:19" s="444" customFormat="1" ht="46.05" customHeight="1">
      <c r="A284" s="672"/>
      <c r="B284" s="673"/>
      <c r="C284" s="454"/>
      <c r="D284" s="442"/>
      <c r="E284" s="966" t="s">
        <v>542</v>
      </c>
      <c r="F284" s="970"/>
      <c r="G284" s="970"/>
      <c r="H284" s="967">
        <v>0</v>
      </c>
      <c r="I284" s="704"/>
      <c r="J284" s="704"/>
      <c r="K284" s="532"/>
      <c r="L284" s="970"/>
      <c r="M284" s="970"/>
      <c r="N284" s="968">
        <v>932.89</v>
      </c>
      <c r="O284" s="874"/>
      <c r="P284" s="960"/>
      <c r="Q284" s="984"/>
      <c r="R284" s="961"/>
    </row>
    <row r="285" spans="1:19" s="444" customFormat="1" ht="46.05" customHeight="1">
      <c r="A285" s="672"/>
      <c r="B285" s="673"/>
      <c r="C285" s="454"/>
      <c r="D285" s="442"/>
      <c r="E285" s="966" t="s">
        <v>543</v>
      </c>
      <c r="F285" s="970"/>
      <c r="G285" s="970"/>
      <c r="H285" s="967">
        <v>692</v>
      </c>
      <c r="I285" s="704"/>
      <c r="J285" s="704"/>
      <c r="K285" s="532"/>
      <c r="L285" s="970"/>
      <c r="M285" s="970"/>
      <c r="N285" s="968">
        <v>735</v>
      </c>
      <c r="O285" s="874"/>
      <c r="P285" s="960"/>
      <c r="Q285" s="984"/>
      <c r="R285" s="961"/>
    </row>
    <row r="286" spans="1:19" s="444" customFormat="1" ht="46.05" customHeight="1">
      <c r="A286" s="672"/>
      <c r="B286" s="673"/>
      <c r="C286" s="454"/>
      <c r="D286" s="442"/>
      <c r="E286" s="966" t="s">
        <v>544</v>
      </c>
      <c r="F286" s="970"/>
      <c r="G286" s="970"/>
      <c r="H286" s="967">
        <v>35817</v>
      </c>
      <c r="I286" s="704"/>
      <c r="J286" s="704"/>
      <c r="K286" s="532"/>
      <c r="L286" s="970"/>
      <c r="M286" s="970"/>
      <c r="N286" s="968">
        <v>24223.5</v>
      </c>
      <c r="O286" s="874"/>
      <c r="P286" s="960"/>
      <c r="Q286" s="984"/>
      <c r="R286" s="961"/>
    </row>
    <row r="287" spans="1:19" s="444" customFormat="1" ht="46.05" customHeight="1">
      <c r="A287" s="672"/>
      <c r="B287" s="673"/>
      <c r="C287" s="454"/>
      <c r="D287" s="442"/>
      <c r="E287" s="966" t="s">
        <v>545</v>
      </c>
      <c r="F287" s="970"/>
      <c r="G287" s="970"/>
      <c r="H287" s="967">
        <v>0</v>
      </c>
      <c r="I287" s="704"/>
      <c r="J287" s="704"/>
      <c r="K287" s="532"/>
      <c r="L287" s="970"/>
      <c r="M287" s="970"/>
      <c r="N287" s="968">
        <v>0</v>
      </c>
      <c r="O287" s="874"/>
      <c r="P287" s="960"/>
      <c r="Q287" s="984"/>
      <c r="R287" s="961"/>
    </row>
    <row r="288" spans="1:19" s="444" customFormat="1" ht="46.05" customHeight="1">
      <c r="A288" s="672"/>
      <c r="B288" s="673"/>
      <c r="C288" s="454"/>
      <c r="D288" s="442"/>
      <c r="E288" s="966" t="s">
        <v>546</v>
      </c>
      <c r="F288" s="970"/>
      <c r="G288" s="970"/>
      <c r="H288" s="967">
        <v>0</v>
      </c>
      <c r="I288" s="704"/>
      <c r="J288" s="704"/>
      <c r="K288" s="532"/>
      <c r="L288" s="970"/>
      <c r="M288" s="970"/>
      <c r="N288" s="968">
        <v>3639</v>
      </c>
      <c r="O288" s="874"/>
      <c r="P288" s="960"/>
      <c r="Q288" s="984"/>
      <c r="R288" s="961"/>
    </row>
    <row r="289" spans="1:18" s="444" customFormat="1" ht="109.8" customHeight="1">
      <c r="A289" s="672"/>
      <c r="B289" s="673"/>
      <c r="C289" s="454"/>
      <c r="D289" s="442"/>
      <c r="E289" s="988" t="s">
        <v>899</v>
      </c>
      <c r="F289" s="970"/>
      <c r="G289" s="970"/>
      <c r="H289" s="967">
        <v>1674.81</v>
      </c>
      <c r="I289" s="704"/>
      <c r="J289" s="704"/>
      <c r="K289" s="532"/>
      <c r="L289" s="985"/>
      <c r="M289" s="986"/>
      <c r="N289" s="987">
        <v>35965.660000000003</v>
      </c>
      <c r="O289" s="874"/>
      <c r="P289" s="960"/>
      <c r="Q289" s="984"/>
      <c r="R289" s="961"/>
    </row>
    <row r="290" spans="1:18" s="444" customFormat="1" ht="100.05" customHeight="1">
      <c r="A290" s="672"/>
      <c r="B290" s="1332"/>
      <c r="C290" s="454"/>
      <c r="D290" s="442"/>
      <c r="E290" s="1338" t="s">
        <v>900</v>
      </c>
      <c r="F290" s="970"/>
      <c r="G290" s="970"/>
      <c r="H290" s="967"/>
      <c r="I290" s="1333"/>
      <c r="J290" s="1333"/>
      <c r="K290" s="532"/>
      <c r="L290" s="1334"/>
      <c r="M290" s="1335"/>
      <c r="N290" s="1336"/>
      <c r="O290" s="1337"/>
      <c r="P290" s="960"/>
      <c r="Q290" s="984"/>
      <c r="R290" s="961"/>
    </row>
    <row r="291" spans="1:18" s="444" customFormat="1" ht="100.05" customHeight="1">
      <c r="A291" s="672"/>
      <c r="B291" s="1332"/>
      <c r="C291" s="454"/>
      <c r="D291" s="442"/>
      <c r="E291" s="1338" t="s">
        <v>898</v>
      </c>
      <c r="F291" s="970"/>
      <c r="G291" s="970"/>
      <c r="H291" s="967"/>
      <c r="I291" s="1333"/>
      <c r="J291" s="1333"/>
      <c r="K291" s="532"/>
      <c r="L291" s="1334"/>
      <c r="M291" s="1335"/>
      <c r="N291" s="1336"/>
      <c r="O291" s="1337"/>
      <c r="P291" s="960"/>
      <c r="Q291" s="984"/>
      <c r="R291" s="961"/>
    </row>
    <row r="292" spans="1:18" s="444" customFormat="1" ht="57" customHeight="1">
      <c r="A292" s="672"/>
      <c r="B292" s="673"/>
      <c r="C292" s="965"/>
      <c r="D292" s="442"/>
      <c r="E292" s="950" t="s">
        <v>467</v>
      </c>
      <c r="F292" s="955">
        <v>117300</v>
      </c>
      <c r="G292" s="955">
        <v>111778</v>
      </c>
      <c r="H292" s="955">
        <v>74715.13</v>
      </c>
      <c r="I292" s="704"/>
      <c r="J292" s="704"/>
      <c r="K292" s="532"/>
      <c r="L292" s="955">
        <v>0</v>
      </c>
      <c r="M292" s="955">
        <v>0</v>
      </c>
      <c r="N292" s="955">
        <v>0</v>
      </c>
      <c r="O292" s="932">
        <v>0</v>
      </c>
      <c r="P292" s="960" t="s">
        <v>286</v>
      </c>
      <c r="Q292" s="767" t="s">
        <v>286</v>
      </c>
      <c r="R292" s="961"/>
    </row>
    <row r="293" spans="1:18" s="330" customFormat="1" ht="63.75" customHeight="1">
      <c r="A293" s="488"/>
      <c r="B293" s="476">
        <v>75095</v>
      </c>
      <c r="C293" s="248"/>
      <c r="D293" s="247"/>
      <c r="E293" s="331" t="s">
        <v>8</v>
      </c>
      <c r="F293" s="504">
        <f>SUM(F294:F296)</f>
        <v>0</v>
      </c>
      <c r="G293" s="478">
        <f>SUM(G294:G296)</f>
        <v>0</v>
      </c>
      <c r="H293" s="478">
        <f>SUM(H294:H296)</f>
        <v>0</v>
      </c>
      <c r="I293" s="478">
        <f>SUM(I294:I296)</f>
        <v>0</v>
      </c>
      <c r="J293" s="478">
        <f>SUM(J294:J296)</f>
        <v>0</v>
      </c>
      <c r="K293" s="478" t="e">
        <f>K294+K297</f>
        <v>#REF!</v>
      </c>
      <c r="L293" s="511">
        <f>L294+L297</f>
        <v>103000</v>
      </c>
      <c r="M293" s="511">
        <f t="shared" ref="M293:N293" si="79">M294+M297</f>
        <v>103000</v>
      </c>
      <c r="N293" s="511">
        <f t="shared" si="79"/>
        <v>48694.58</v>
      </c>
      <c r="O293" s="896">
        <f>N293/M293</f>
        <v>0.47276291262135922</v>
      </c>
      <c r="P293" s="763" t="s">
        <v>286</v>
      </c>
    </row>
    <row r="294" spans="1:18" s="481" customFormat="1" ht="54.9" customHeight="1">
      <c r="A294" s="412"/>
      <c r="B294" s="342"/>
      <c r="C294" s="482">
        <v>1</v>
      </c>
      <c r="D294" s="340"/>
      <c r="E294" s="339" t="s">
        <v>100</v>
      </c>
      <c r="F294" s="512"/>
      <c r="G294" s="338"/>
      <c r="H294" s="338"/>
      <c r="I294" s="338"/>
      <c r="J294" s="338"/>
      <c r="K294" s="513" t="e">
        <f>#REF!+K296+#REF!</f>
        <v>#REF!</v>
      </c>
      <c r="L294" s="338">
        <v>10000</v>
      </c>
      <c r="M294" s="338">
        <v>10000</v>
      </c>
      <c r="N294" s="338">
        <v>4091.04</v>
      </c>
      <c r="O294" s="892">
        <f>N294/M294</f>
        <v>0.40910400000000002</v>
      </c>
      <c r="P294" s="772" t="s">
        <v>286</v>
      </c>
    </row>
    <row r="295" spans="1:18" s="322" customFormat="1" ht="35.25" customHeight="1">
      <c r="A295" s="396"/>
      <c r="B295" s="110"/>
      <c r="C295" s="23"/>
      <c r="D295" s="264"/>
      <c r="E295" s="350" t="s">
        <v>16</v>
      </c>
      <c r="F295" s="507"/>
      <c r="G295" s="508"/>
      <c r="H295" s="508"/>
      <c r="I295" s="508"/>
      <c r="J295" s="508"/>
      <c r="K295" s="509"/>
      <c r="L295" s="604"/>
      <c r="M295" s="604"/>
      <c r="N295" s="604"/>
      <c r="O295" s="893"/>
      <c r="P295" s="763"/>
    </row>
    <row r="296" spans="1:18" s="105" customFormat="1" ht="70.2" customHeight="1">
      <c r="A296" s="396"/>
      <c r="B296" s="110"/>
      <c r="C296" s="23"/>
      <c r="D296" s="349" t="s">
        <v>3</v>
      </c>
      <c r="E296" s="348" t="s">
        <v>794</v>
      </c>
      <c r="F296" s="510"/>
      <c r="G296" s="508"/>
      <c r="H296" s="508"/>
      <c r="I296" s="508"/>
      <c r="J296" s="508"/>
      <c r="K296" s="611">
        <v>8000</v>
      </c>
      <c r="L296" s="609"/>
      <c r="M296" s="609"/>
      <c r="N296" s="609"/>
      <c r="O296" s="894"/>
      <c r="P296" s="764"/>
    </row>
    <row r="297" spans="1:18" s="431" customFormat="1" ht="67.5" customHeight="1">
      <c r="A297" s="396"/>
      <c r="B297" s="397"/>
      <c r="C297" s="203">
        <v>2</v>
      </c>
      <c r="D297" s="118"/>
      <c r="E297" s="555" t="s">
        <v>173</v>
      </c>
      <c r="F297" s="556"/>
      <c r="G297" s="557"/>
      <c r="H297" s="557"/>
      <c r="I297" s="557"/>
      <c r="J297" s="456"/>
      <c r="K297" s="456">
        <f>SUM(K299:K309)</f>
        <v>93000</v>
      </c>
      <c r="L297" s="456">
        <f t="shared" ref="L297" si="80">SUM(F297:K297)</f>
        <v>93000</v>
      </c>
      <c r="M297" s="456">
        <f>M299+M303+M304+M305+M306+M307+M308+M309</f>
        <v>93000</v>
      </c>
      <c r="N297" s="456">
        <f>N299+N303+N304+N305+N306+N307+N308+N309</f>
        <v>44603.54</v>
      </c>
      <c r="O297" s="871">
        <f>N297/M297</f>
        <v>0.4796079569892473</v>
      </c>
      <c r="P297" s="764" t="s">
        <v>286</v>
      </c>
    </row>
    <row r="298" spans="1:18" s="105" customFormat="1" ht="48.75" customHeight="1">
      <c r="A298" s="396"/>
      <c r="B298" s="110"/>
      <c r="C298" s="270"/>
      <c r="D298" s="94"/>
      <c r="E298" s="346" t="s">
        <v>84</v>
      </c>
      <c r="F298" s="345"/>
      <c r="G298" s="344"/>
      <c r="H298" s="344"/>
      <c r="I298" s="344"/>
      <c r="J298" s="92"/>
      <c r="K298" s="92"/>
      <c r="L298" s="92"/>
      <c r="M298" s="92"/>
      <c r="N298" s="92"/>
      <c r="O298" s="869"/>
      <c r="P298" s="764"/>
    </row>
    <row r="299" spans="1:18" s="105" customFormat="1" ht="67.5" customHeight="1">
      <c r="A299" s="396"/>
      <c r="B299" s="110"/>
      <c r="C299" s="270"/>
      <c r="D299" s="94" t="s">
        <v>3</v>
      </c>
      <c r="E299" s="346" t="s">
        <v>200</v>
      </c>
      <c r="F299" s="345"/>
      <c r="G299" s="344"/>
      <c r="H299" s="344"/>
      <c r="I299" s="344"/>
      <c r="J299" s="92"/>
      <c r="K299" s="107">
        <v>55000</v>
      </c>
      <c r="L299" s="107">
        <f t="shared" ref="L299:L308" si="81">SUM(F299:K299)</f>
        <v>55000</v>
      </c>
      <c r="M299" s="107">
        <v>55000</v>
      </c>
      <c r="N299" s="107">
        <v>40642.519999999997</v>
      </c>
      <c r="O299" s="884">
        <f>N299/M299</f>
        <v>0.738954909090909</v>
      </c>
      <c r="P299" s="764" t="s">
        <v>286</v>
      </c>
    </row>
    <row r="300" spans="1:18" s="1033" customFormat="1" ht="88.5" customHeight="1">
      <c r="A300" s="701"/>
      <c r="B300" s="657"/>
      <c r="C300" s="1031"/>
      <c r="D300" s="416"/>
      <c r="E300" s="1314" t="s">
        <v>634</v>
      </c>
      <c r="F300" s="1314"/>
      <c r="G300" s="1314"/>
      <c r="H300" s="1314"/>
      <c r="I300" s="1314"/>
      <c r="J300" s="1314"/>
      <c r="K300" s="1314"/>
      <c r="L300" s="1314"/>
      <c r="M300" s="1314"/>
      <c r="N300" s="1314"/>
      <c r="O300" s="1315"/>
      <c r="P300" s="764"/>
      <c r="Q300" s="1032"/>
      <c r="R300" s="764"/>
    </row>
    <row r="301" spans="1:18" s="1033" customFormat="1" ht="55.5" customHeight="1">
      <c r="A301" s="652"/>
      <c r="B301" s="657"/>
      <c r="C301" s="1031"/>
      <c r="D301" s="416"/>
      <c r="E301" s="1314" t="s">
        <v>635</v>
      </c>
      <c r="F301" s="1314"/>
      <c r="G301" s="1314"/>
      <c r="H301" s="1314"/>
      <c r="I301" s="1314"/>
      <c r="J301" s="1314"/>
      <c r="K301" s="1314"/>
      <c r="L301" s="1314"/>
      <c r="M301" s="1314"/>
      <c r="N301" s="1314"/>
      <c r="O301" s="1315"/>
      <c r="P301" s="764"/>
      <c r="Q301" s="1032"/>
      <c r="R301" s="764"/>
    </row>
    <row r="302" spans="1:18" s="1033" customFormat="1" ht="55.5" customHeight="1">
      <c r="A302" s="652"/>
      <c r="B302" s="657"/>
      <c r="C302" s="1031"/>
      <c r="D302" s="416"/>
      <c r="E302" s="1313" t="s">
        <v>636</v>
      </c>
      <c r="F302" s="1314"/>
      <c r="G302" s="1314"/>
      <c r="H302" s="1314"/>
      <c r="I302" s="1314"/>
      <c r="J302" s="1314"/>
      <c r="K302" s="1314"/>
      <c r="L302" s="1314"/>
      <c r="M302" s="1314"/>
      <c r="N302" s="1314"/>
      <c r="O302" s="1315"/>
      <c r="P302" s="764"/>
      <c r="Q302" s="1032"/>
      <c r="R302" s="764"/>
    </row>
    <row r="303" spans="1:18" s="105" customFormat="1" ht="45.75" customHeight="1">
      <c r="A303" s="396"/>
      <c r="B303" s="110"/>
      <c r="C303" s="270"/>
      <c r="D303" s="94" t="s">
        <v>3</v>
      </c>
      <c r="E303" s="346" t="s">
        <v>99</v>
      </c>
      <c r="F303" s="345"/>
      <c r="G303" s="344"/>
      <c r="H303" s="344"/>
      <c r="I303" s="344"/>
      <c r="J303" s="92"/>
      <c r="K303" s="107">
        <v>10000</v>
      </c>
      <c r="L303" s="107">
        <f t="shared" si="81"/>
        <v>10000</v>
      </c>
      <c r="M303" s="107">
        <v>10000</v>
      </c>
      <c r="N303" s="107">
        <v>3364.73</v>
      </c>
      <c r="O303" s="884">
        <f>N303/M303</f>
        <v>0.33647300000000002</v>
      </c>
      <c r="P303" s="764" t="s">
        <v>286</v>
      </c>
    </row>
    <row r="304" spans="1:18" s="105" customFormat="1" ht="65.25" customHeight="1">
      <c r="A304" s="396"/>
      <c r="B304" s="110"/>
      <c r="C304" s="270"/>
      <c r="D304" s="94" t="s">
        <v>3</v>
      </c>
      <c r="E304" s="346" t="s">
        <v>98</v>
      </c>
      <c r="F304" s="345"/>
      <c r="G304" s="344"/>
      <c r="H304" s="344"/>
      <c r="I304" s="344"/>
      <c r="J304" s="92"/>
      <c r="K304" s="107">
        <v>1000</v>
      </c>
      <c r="L304" s="107">
        <f t="shared" si="81"/>
        <v>1000</v>
      </c>
      <c r="M304" s="107">
        <v>1000</v>
      </c>
      <c r="N304" s="107">
        <v>0</v>
      </c>
      <c r="O304" s="884">
        <v>0</v>
      </c>
      <c r="P304" s="764" t="s">
        <v>286</v>
      </c>
    </row>
    <row r="305" spans="1:226" s="105" customFormat="1" ht="66" customHeight="1">
      <c r="A305" s="396"/>
      <c r="B305" s="110"/>
      <c r="C305" s="270"/>
      <c r="D305" s="94" t="s">
        <v>3</v>
      </c>
      <c r="E305" s="346" t="s">
        <v>97</v>
      </c>
      <c r="F305" s="345"/>
      <c r="G305" s="344"/>
      <c r="H305" s="344"/>
      <c r="I305" s="344"/>
      <c r="J305" s="92"/>
      <c r="K305" s="107">
        <v>2000</v>
      </c>
      <c r="L305" s="107">
        <f t="shared" si="81"/>
        <v>2000</v>
      </c>
      <c r="M305" s="107">
        <v>2000</v>
      </c>
      <c r="N305" s="107">
        <v>0</v>
      </c>
      <c r="O305" s="884">
        <v>0</v>
      </c>
      <c r="P305" s="764" t="s">
        <v>286</v>
      </c>
    </row>
    <row r="306" spans="1:226" s="431" customFormat="1" ht="97.2" customHeight="1">
      <c r="A306" s="396"/>
      <c r="B306" s="110"/>
      <c r="C306" s="270"/>
      <c r="D306" s="416" t="s">
        <v>3</v>
      </c>
      <c r="E306" s="346" t="s">
        <v>328</v>
      </c>
      <c r="F306" s="345"/>
      <c r="G306" s="344"/>
      <c r="H306" s="344"/>
      <c r="I306" s="344"/>
      <c r="J306" s="92"/>
      <c r="K306" s="107">
        <v>10000</v>
      </c>
      <c r="L306" s="107">
        <f t="shared" ref="L306" si="82">SUM(F306:K306)</f>
        <v>10000</v>
      </c>
      <c r="M306" s="107">
        <v>10000</v>
      </c>
      <c r="N306" s="107">
        <v>0</v>
      </c>
      <c r="O306" s="884">
        <v>0</v>
      </c>
      <c r="P306" s="764" t="s">
        <v>286</v>
      </c>
    </row>
    <row r="307" spans="1:226" s="105" customFormat="1" ht="68.25" customHeight="1">
      <c r="A307" s="396"/>
      <c r="B307" s="110"/>
      <c r="C307" s="270"/>
      <c r="D307" s="94" t="s">
        <v>3</v>
      </c>
      <c r="E307" s="346" t="s">
        <v>96</v>
      </c>
      <c r="F307" s="345"/>
      <c r="G307" s="344"/>
      <c r="H307" s="344"/>
      <c r="I307" s="344"/>
      <c r="J307" s="92"/>
      <c r="K307" s="107">
        <v>2000</v>
      </c>
      <c r="L307" s="107">
        <f t="shared" si="81"/>
        <v>2000</v>
      </c>
      <c r="M307" s="107">
        <v>2000</v>
      </c>
      <c r="N307" s="107">
        <v>12.87</v>
      </c>
      <c r="O307" s="884">
        <f>N307/M307</f>
        <v>6.4349999999999997E-3</v>
      </c>
      <c r="P307" s="764" t="s">
        <v>286</v>
      </c>
    </row>
    <row r="308" spans="1:226" s="105" customFormat="1" ht="66" customHeight="1">
      <c r="A308" s="396"/>
      <c r="B308" s="110"/>
      <c r="C308" s="270"/>
      <c r="D308" s="94" t="s">
        <v>3</v>
      </c>
      <c r="E308" s="346" t="s">
        <v>166</v>
      </c>
      <c r="F308" s="345"/>
      <c r="G308" s="344"/>
      <c r="H308" s="344"/>
      <c r="I308" s="344"/>
      <c r="J308" s="92"/>
      <c r="K308" s="107">
        <v>10000</v>
      </c>
      <c r="L308" s="107">
        <f t="shared" si="81"/>
        <v>10000</v>
      </c>
      <c r="M308" s="107">
        <v>10000</v>
      </c>
      <c r="N308" s="107">
        <v>583.41999999999996</v>
      </c>
      <c r="O308" s="884">
        <f>N308/M308</f>
        <v>5.8341999999999998E-2</v>
      </c>
      <c r="P308" s="764" t="s">
        <v>286</v>
      </c>
    </row>
    <row r="309" spans="1:226" s="431" customFormat="1" ht="63" customHeight="1">
      <c r="A309" s="396"/>
      <c r="B309" s="397"/>
      <c r="C309" s="461"/>
      <c r="D309" s="416" t="s">
        <v>3</v>
      </c>
      <c r="E309" s="346" t="s">
        <v>95</v>
      </c>
      <c r="F309" s="598"/>
      <c r="G309" s="599"/>
      <c r="H309" s="599"/>
      <c r="I309" s="599"/>
      <c r="J309" s="417"/>
      <c r="K309" s="625">
        <v>3000</v>
      </c>
      <c r="L309" s="625">
        <f>SUM(F309:K309)</f>
        <v>3000</v>
      </c>
      <c r="M309" s="625">
        <v>3000</v>
      </c>
      <c r="N309" s="625">
        <v>0</v>
      </c>
      <c r="O309" s="897">
        <v>0</v>
      </c>
      <c r="P309" s="764" t="s">
        <v>286</v>
      </c>
    </row>
    <row r="310" spans="1:226" s="318" customFormat="1" ht="82.5" customHeight="1">
      <c r="A310" s="321">
        <v>7</v>
      </c>
      <c r="B310" s="336">
        <v>751</v>
      </c>
      <c r="C310" s="335"/>
      <c r="D310" s="334"/>
      <c r="E310" s="320" t="s">
        <v>94</v>
      </c>
      <c r="F310" s="514">
        <f t="shared" ref="F310:K313" si="83">F311</f>
        <v>3370</v>
      </c>
      <c r="G310" s="333">
        <f t="shared" si="83"/>
        <v>0</v>
      </c>
      <c r="H310" s="333">
        <f t="shared" si="83"/>
        <v>0</v>
      </c>
      <c r="I310" s="333">
        <f t="shared" si="83"/>
        <v>0</v>
      </c>
      <c r="J310" s="333">
        <f t="shared" si="83"/>
        <v>0</v>
      </c>
      <c r="K310" s="333">
        <f t="shared" si="83"/>
        <v>0</v>
      </c>
      <c r="L310" s="333">
        <f t="shared" ref="L310:L321" si="84">SUM(F310:K310)</f>
        <v>3370</v>
      </c>
      <c r="M310" s="333">
        <f>M311+M313</f>
        <v>88465</v>
      </c>
      <c r="N310" s="333">
        <f>N311+N313</f>
        <v>7962.4000000000005</v>
      </c>
      <c r="O310" s="898">
        <f t="shared" ref="O310:O315" si="85">N310/M310</f>
        <v>9.0006217148024648E-2</v>
      </c>
      <c r="P310" s="773" t="s">
        <v>286</v>
      </c>
      <c r="FM310" s="319"/>
      <c r="FN310" s="319"/>
      <c r="FO310" s="319"/>
      <c r="FP310" s="319"/>
      <c r="FQ310" s="319"/>
      <c r="FR310" s="319"/>
      <c r="FS310" s="319"/>
      <c r="FT310" s="319"/>
      <c r="FU310" s="319"/>
      <c r="FV310" s="319"/>
      <c r="FW310" s="319"/>
      <c r="FX310" s="319"/>
      <c r="FY310" s="319"/>
      <c r="FZ310" s="319"/>
      <c r="GA310" s="319"/>
      <c r="GB310" s="319"/>
      <c r="GC310" s="319"/>
      <c r="GD310" s="319"/>
      <c r="GE310" s="319"/>
      <c r="GF310" s="319"/>
      <c r="GG310" s="319"/>
      <c r="GH310" s="319"/>
      <c r="GI310" s="319"/>
      <c r="GJ310" s="319"/>
      <c r="GK310" s="319"/>
      <c r="GL310" s="319"/>
      <c r="GM310" s="319"/>
      <c r="GN310" s="319"/>
      <c r="GO310" s="319"/>
      <c r="GP310" s="319"/>
      <c r="GQ310" s="319"/>
      <c r="GR310" s="319"/>
      <c r="GS310" s="319"/>
      <c r="GT310" s="319"/>
      <c r="GU310" s="319"/>
      <c r="GV310" s="319"/>
      <c r="GW310" s="319"/>
      <c r="GX310" s="319"/>
      <c r="GY310" s="319"/>
      <c r="GZ310" s="319"/>
      <c r="HA310" s="319"/>
      <c r="HB310" s="319"/>
      <c r="HC310" s="319"/>
      <c r="HD310" s="319"/>
      <c r="HE310" s="319"/>
      <c r="HF310" s="319"/>
      <c r="HG310" s="319"/>
      <c r="HH310" s="319"/>
      <c r="HI310" s="319"/>
      <c r="HJ310" s="319"/>
      <c r="HK310" s="319"/>
      <c r="HL310" s="319"/>
      <c r="HM310" s="319"/>
      <c r="HN310" s="319"/>
      <c r="HO310" s="319"/>
      <c r="HP310" s="319"/>
      <c r="HQ310" s="319"/>
      <c r="HR310" s="319"/>
    </row>
    <row r="311" spans="1:226" s="330" customFormat="1" ht="68.25" customHeight="1">
      <c r="A311" s="394"/>
      <c r="B311" s="332">
        <v>75101</v>
      </c>
      <c r="C311" s="248"/>
      <c r="D311" s="247"/>
      <c r="E311" s="331" t="s">
        <v>93</v>
      </c>
      <c r="F311" s="515">
        <f t="shared" si="83"/>
        <v>3370</v>
      </c>
      <c r="G311" s="343">
        <f t="shared" si="83"/>
        <v>0</v>
      </c>
      <c r="H311" s="343">
        <f t="shared" si="83"/>
        <v>0</v>
      </c>
      <c r="I311" s="343">
        <f t="shared" si="83"/>
        <v>0</v>
      </c>
      <c r="J311" s="343">
        <f t="shared" si="83"/>
        <v>0</v>
      </c>
      <c r="K311" s="343">
        <f t="shared" si="83"/>
        <v>0</v>
      </c>
      <c r="L311" s="343">
        <f t="shared" si="84"/>
        <v>3370</v>
      </c>
      <c r="M311" s="343">
        <f>M312</f>
        <v>3370</v>
      </c>
      <c r="N311" s="343">
        <f>N312</f>
        <v>1036.8399999999999</v>
      </c>
      <c r="O311" s="899">
        <f t="shared" si="85"/>
        <v>0.30766765578635014</v>
      </c>
      <c r="P311" s="763" t="s">
        <v>286</v>
      </c>
    </row>
    <row r="312" spans="1:226" s="337" customFormat="1" ht="68.25" customHeight="1">
      <c r="A312" s="412"/>
      <c r="B312" s="342"/>
      <c r="C312" s="341">
        <v>1</v>
      </c>
      <c r="D312" s="340"/>
      <c r="E312" s="339" t="s">
        <v>92</v>
      </c>
      <c r="F312" s="512">
        <v>3370</v>
      </c>
      <c r="G312" s="338"/>
      <c r="H312" s="338"/>
      <c r="I312" s="338"/>
      <c r="J312" s="338"/>
      <c r="K312" s="513">
        <v>0</v>
      </c>
      <c r="L312" s="338">
        <f>SUM(F312:K312)</f>
        <v>3370</v>
      </c>
      <c r="M312" s="338">
        <f>SUM(G312:L312)</f>
        <v>3370</v>
      </c>
      <c r="N312" s="338">
        <v>1036.8399999999999</v>
      </c>
      <c r="O312" s="892">
        <f t="shared" si="85"/>
        <v>0.30766765578635014</v>
      </c>
      <c r="P312" s="774" t="s">
        <v>286</v>
      </c>
    </row>
    <row r="313" spans="1:226" s="330" customFormat="1" ht="68.25" customHeight="1">
      <c r="A313" s="394"/>
      <c r="B313" s="78">
        <v>75107</v>
      </c>
      <c r="C313" s="248"/>
      <c r="D313" s="247"/>
      <c r="E313" s="331" t="s">
        <v>823</v>
      </c>
      <c r="F313" s="515">
        <f t="shared" si="83"/>
        <v>3370</v>
      </c>
      <c r="G313" s="343">
        <f t="shared" si="83"/>
        <v>0</v>
      </c>
      <c r="H313" s="343">
        <f t="shared" si="83"/>
        <v>0</v>
      </c>
      <c r="I313" s="343">
        <f t="shared" si="83"/>
        <v>0</v>
      </c>
      <c r="J313" s="343">
        <f t="shared" si="83"/>
        <v>0</v>
      </c>
      <c r="K313" s="343">
        <f t="shared" si="83"/>
        <v>0</v>
      </c>
      <c r="L313" s="95">
        <f t="shared" ref="L313" si="86">SUM(F313:K313)</f>
        <v>3370</v>
      </c>
      <c r="M313" s="95">
        <f>M314</f>
        <v>85095</v>
      </c>
      <c r="N313" s="95">
        <f>N314</f>
        <v>6925.56</v>
      </c>
      <c r="O313" s="868">
        <f t="shared" si="85"/>
        <v>8.1386215406310594E-2</v>
      </c>
      <c r="P313" s="763" t="s">
        <v>286</v>
      </c>
    </row>
    <row r="314" spans="1:226" s="337" customFormat="1" ht="68.25" customHeight="1">
      <c r="A314" s="412"/>
      <c r="B314" s="342"/>
      <c r="C314" s="341">
        <v>1</v>
      </c>
      <c r="D314" s="340"/>
      <c r="E314" s="339" t="s">
        <v>824</v>
      </c>
      <c r="F314" s="512">
        <v>3370</v>
      </c>
      <c r="G314" s="338"/>
      <c r="H314" s="338"/>
      <c r="I314" s="338"/>
      <c r="J314" s="338"/>
      <c r="K314" s="513">
        <v>0</v>
      </c>
      <c r="L314" s="338">
        <v>0</v>
      </c>
      <c r="M314" s="338">
        <v>85095</v>
      </c>
      <c r="N314" s="338">
        <v>6925.56</v>
      </c>
      <c r="O314" s="892">
        <f t="shared" si="85"/>
        <v>8.1386215406310594E-2</v>
      </c>
      <c r="P314" s="774" t="s">
        <v>286</v>
      </c>
    </row>
    <row r="315" spans="1:226" s="318" customFormat="1" ht="68.25" customHeight="1">
      <c r="A315" s="321">
        <v>8</v>
      </c>
      <c r="B315" s="336">
        <v>752</v>
      </c>
      <c r="C315" s="335"/>
      <c r="D315" s="334"/>
      <c r="E315" s="320" t="s">
        <v>91</v>
      </c>
      <c r="F315" s="514">
        <f t="shared" ref="F315:K315" si="87">F316</f>
        <v>1000</v>
      </c>
      <c r="G315" s="333">
        <f t="shared" si="87"/>
        <v>0</v>
      </c>
      <c r="H315" s="333">
        <f t="shared" si="87"/>
        <v>0</v>
      </c>
      <c r="I315" s="333">
        <f t="shared" si="87"/>
        <v>0</v>
      </c>
      <c r="J315" s="333">
        <f t="shared" si="87"/>
        <v>0</v>
      </c>
      <c r="K315" s="333">
        <f t="shared" si="87"/>
        <v>4500</v>
      </c>
      <c r="L315" s="333">
        <f t="shared" si="84"/>
        <v>5500</v>
      </c>
      <c r="M315" s="333">
        <f>M316</f>
        <v>5500</v>
      </c>
      <c r="N315" s="333">
        <f>N316</f>
        <v>0</v>
      </c>
      <c r="O315" s="898">
        <f t="shared" si="85"/>
        <v>0</v>
      </c>
      <c r="P315" s="773" t="s">
        <v>286</v>
      </c>
      <c r="FM315" s="319"/>
      <c r="FN315" s="319"/>
      <c r="FO315" s="319"/>
      <c r="FP315" s="319"/>
      <c r="FQ315" s="319"/>
      <c r="FR315" s="319"/>
      <c r="FS315" s="319"/>
      <c r="FT315" s="319"/>
      <c r="FU315" s="319"/>
      <c r="FV315" s="319"/>
      <c r="FW315" s="319"/>
      <c r="FX315" s="319"/>
      <c r="FY315" s="319"/>
      <c r="FZ315" s="319"/>
      <c r="GA315" s="319"/>
      <c r="GB315" s="319"/>
      <c r="GC315" s="319"/>
      <c r="GD315" s="319"/>
      <c r="GE315" s="319"/>
      <c r="GF315" s="319"/>
      <c r="GG315" s="319"/>
      <c r="GH315" s="319"/>
      <c r="GI315" s="319"/>
      <c r="GJ315" s="319"/>
      <c r="GK315" s="319"/>
      <c r="GL315" s="319"/>
      <c r="GM315" s="319"/>
      <c r="GN315" s="319"/>
      <c r="GO315" s="319"/>
      <c r="GP315" s="319"/>
      <c r="GQ315" s="319"/>
      <c r="GR315" s="319"/>
      <c r="GS315" s="319"/>
      <c r="GT315" s="319"/>
      <c r="GU315" s="319"/>
      <c r="GV315" s="319"/>
      <c r="GW315" s="319"/>
      <c r="GX315" s="319"/>
      <c r="GY315" s="319"/>
      <c r="GZ315" s="319"/>
      <c r="HA315" s="319"/>
      <c r="HB315" s="319"/>
      <c r="HC315" s="319"/>
      <c r="HD315" s="319"/>
      <c r="HE315" s="319"/>
      <c r="HF315" s="319"/>
      <c r="HG315" s="319"/>
      <c r="HH315" s="319"/>
      <c r="HI315" s="319"/>
      <c r="HJ315" s="319"/>
      <c r="HK315" s="319"/>
      <c r="HL315" s="319"/>
      <c r="HM315" s="319"/>
      <c r="HN315" s="319"/>
      <c r="HO315" s="319"/>
      <c r="HP315" s="319"/>
      <c r="HQ315" s="319"/>
      <c r="HR315" s="319"/>
    </row>
    <row r="316" spans="1:226" s="330" customFormat="1" ht="68.25" customHeight="1">
      <c r="A316" s="394"/>
      <c r="B316" s="332">
        <v>75212</v>
      </c>
      <c r="C316" s="248"/>
      <c r="D316" s="247"/>
      <c r="E316" s="331" t="s">
        <v>90</v>
      </c>
      <c r="F316" s="515">
        <f t="shared" ref="F316:K316" si="88">SUM(F317:F321)</f>
        <v>1000</v>
      </c>
      <c r="G316" s="515">
        <f t="shared" si="88"/>
        <v>0</v>
      </c>
      <c r="H316" s="515">
        <f t="shared" si="88"/>
        <v>0</v>
      </c>
      <c r="I316" s="515">
        <f t="shared" si="88"/>
        <v>0</v>
      </c>
      <c r="J316" s="515">
        <f t="shared" si="88"/>
        <v>0</v>
      </c>
      <c r="K316" s="515">
        <f t="shared" si="88"/>
        <v>4500</v>
      </c>
      <c r="L316" s="95">
        <f t="shared" si="84"/>
        <v>5500</v>
      </c>
      <c r="M316" s="95">
        <f>M317+M319+M321</f>
        <v>5500</v>
      </c>
      <c r="N316" s="95">
        <f>N317+N319+N321</f>
        <v>0</v>
      </c>
      <c r="O316" s="868">
        <v>0</v>
      </c>
      <c r="P316" s="763" t="s">
        <v>286</v>
      </c>
    </row>
    <row r="317" spans="1:226" s="105" customFormat="1" ht="68.25" customHeight="1">
      <c r="A317" s="396"/>
      <c r="B317" s="329"/>
      <c r="C317" s="245">
        <v>1</v>
      </c>
      <c r="D317" s="328"/>
      <c r="E317" s="327" t="s">
        <v>89</v>
      </c>
      <c r="F317" s="516"/>
      <c r="G317" s="326"/>
      <c r="H317" s="326"/>
      <c r="I317" s="326"/>
      <c r="J317" s="326"/>
      <c r="K317" s="513">
        <v>3000</v>
      </c>
      <c r="L317" s="132">
        <f t="shared" si="84"/>
        <v>3000</v>
      </c>
      <c r="M317" s="132">
        <v>3000</v>
      </c>
      <c r="N317" s="132">
        <v>0</v>
      </c>
      <c r="O317" s="900">
        <v>0</v>
      </c>
      <c r="P317" s="764" t="s">
        <v>286</v>
      </c>
      <c r="T317" s="105" t="s">
        <v>643</v>
      </c>
    </row>
    <row r="318" spans="1:226" s="1049" customFormat="1" ht="31.2" customHeight="1">
      <c r="A318" s="1045"/>
      <c r="B318" s="653"/>
      <c r="C318" s="1046"/>
      <c r="D318" s="1047"/>
      <c r="E318" s="1328" t="s">
        <v>644</v>
      </c>
      <c r="F318" s="1328"/>
      <c r="G318" s="1328"/>
      <c r="H318" s="1328"/>
      <c r="I318" s="1328"/>
      <c r="J318" s="1328"/>
      <c r="K318" s="1328"/>
      <c r="L318" s="1328"/>
      <c r="M318" s="1328"/>
      <c r="N318" s="1328"/>
      <c r="O318" s="1329"/>
      <c r="P318" s="1048"/>
      <c r="Q318" s="1041"/>
      <c r="R318" s="762"/>
      <c r="S318" s="762"/>
    </row>
    <row r="319" spans="1:226" s="431" customFormat="1" ht="65.400000000000006" customHeight="1">
      <c r="A319" s="652"/>
      <c r="B319" s="1339"/>
      <c r="C319" s="594">
        <v>2</v>
      </c>
      <c r="D319" s="655"/>
      <c r="E319" s="664" t="s">
        <v>88</v>
      </c>
      <c r="F319" s="1340"/>
      <c r="G319" s="1341"/>
      <c r="H319" s="1341"/>
      <c r="I319" s="1341"/>
      <c r="J319" s="1341"/>
      <c r="K319" s="828">
        <v>1000</v>
      </c>
      <c r="L319" s="589">
        <f t="shared" si="84"/>
        <v>1000</v>
      </c>
      <c r="M319" s="589">
        <v>1000</v>
      </c>
      <c r="N319" s="589">
        <v>0</v>
      </c>
      <c r="O319" s="927">
        <v>0</v>
      </c>
      <c r="P319" s="764" t="s">
        <v>286</v>
      </c>
    </row>
    <row r="320" spans="1:226" s="1049" customFormat="1" ht="61.5" customHeight="1">
      <c r="A320" s="1045"/>
      <c r="B320" s="653"/>
      <c r="C320" s="1046"/>
      <c r="D320" s="1047"/>
      <c r="E320" s="1328" t="s">
        <v>901</v>
      </c>
      <c r="F320" s="1328"/>
      <c r="G320" s="1328"/>
      <c r="H320" s="1328"/>
      <c r="I320" s="1328"/>
      <c r="J320" s="1328"/>
      <c r="K320" s="1328"/>
      <c r="L320" s="1328"/>
      <c r="M320" s="1328"/>
      <c r="N320" s="1328"/>
      <c r="O320" s="1329"/>
      <c r="P320" s="1048"/>
      <c r="Q320" s="1041"/>
      <c r="R320" s="762"/>
      <c r="S320" s="762"/>
    </row>
    <row r="321" spans="1:226" s="322" customFormat="1" ht="71.25" customHeight="1">
      <c r="A321" s="396"/>
      <c r="B321" s="325"/>
      <c r="C321" s="235">
        <v>3</v>
      </c>
      <c r="D321" s="324"/>
      <c r="E321" s="323" t="s">
        <v>87</v>
      </c>
      <c r="F321" s="496">
        <v>1000</v>
      </c>
      <c r="G321" s="234"/>
      <c r="H321" s="234"/>
      <c r="I321" s="234"/>
      <c r="J321" s="234"/>
      <c r="K321" s="517">
        <v>500</v>
      </c>
      <c r="L321" s="518">
        <f t="shared" si="84"/>
        <v>1500</v>
      </c>
      <c r="M321" s="518">
        <v>1500</v>
      </c>
      <c r="N321" s="518">
        <v>0</v>
      </c>
      <c r="O321" s="902">
        <v>0</v>
      </c>
      <c r="P321" s="763" t="s">
        <v>286</v>
      </c>
    </row>
    <row r="322" spans="1:226" s="318" customFormat="1" ht="68.25" customHeight="1">
      <c r="A322" s="321">
        <v>9</v>
      </c>
      <c r="B322" s="336">
        <v>754</v>
      </c>
      <c r="C322" s="335"/>
      <c r="D322" s="334"/>
      <c r="E322" s="320" t="s">
        <v>86</v>
      </c>
      <c r="F322" s="333">
        <f t="shared" ref="F322:N322" si="89">F323+F325+F338+F343+F364+F371</f>
        <v>0</v>
      </c>
      <c r="G322" s="333">
        <f t="shared" si="89"/>
        <v>0</v>
      </c>
      <c r="H322" s="333">
        <f t="shared" si="89"/>
        <v>0</v>
      </c>
      <c r="I322" s="333">
        <f t="shared" si="89"/>
        <v>0</v>
      </c>
      <c r="J322" s="333">
        <f t="shared" si="89"/>
        <v>0</v>
      </c>
      <c r="K322" s="333" t="e">
        <f t="shared" si="89"/>
        <v>#REF!</v>
      </c>
      <c r="L322" s="333">
        <f t="shared" si="89"/>
        <v>1324761</v>
      </c>
      <c r="M322" s="333">
        <f t="shared" si="89"/>
        <v>1324761</v>
      </c>
      <c r="N322" s="333">
        <f t="shared" si="89"/>
        <v>357843.65</v>
      </c>
      <c r="O322" s="898">
        <f>N322/M322</f>
        <v>0.27011940266961365</v>
      </c>
      <c r="P322" s="773" t="s">
        <v>286</v>
      </c>
      <c r="FM322" s="319"/>
      <c r="FN322" s="319"/>
      <c r="FO322" s="319"/>
      <c r="FP322" s="319"/>
      <c r="FQ322" s="319"/>
      <c r="FR322" s="319"/>
      <c r="FS322" s="319"/>
      <c r="FT322" s="319"/>
      <c r="FU322" s="319"/>
      <c r="FV322" s="319"/>
      <c r="FW322" s="319"/>
      <c r="FX322" s="319"/>
      <c r="FY322" s="319"/>
      <c r="FZ322" s="319"/>
      <c r="GA322" s="319"/>
      <c r="GB322" s="319"/>
      <c r="GC322" s="319"/>
      <c r="GD322" s="319"/>
      <c r="GE322" s="319"/>
      <c r="GF322" s="319"/>
      <c r="GG322" s="319"/>
      <c r="GH322" s="319"/>
      <c r="GI322" s="319"/>
      <c r="GJ322" s="319"/>
      <c r="GK322" s="319"/>
      <c r="GL322" s="319"/>
      <c r="GM322" s="319"/>
      <c r="GN322" s="319"/>
      <c r="GO322" s="319"/>
      <c r="GP322" s="319"/>
      <c r="GQ322" s="319"/>
      <c r="GR322" s="319"/>
      <c r="GS322" s="319"/>
      <c r="GT322" s="319"/>
      <c r="GU322" s="319"/>
      <c r="GV322" s="319"/>
      <c r="GW322" s="319"/>
      <c r="GX322" s="319"/>
      <c r="GY322" s="319"/>
      <c r="GZ322" s="319"/>
      <c r="HA322" s="319"/>
      <c r="HB322" s="319"/>
      <c r="HC322" s="319"/>
      <c r="HD322" s="319"/>
      <c r="HE322" s="319"/>
      <c r="HF322" s="319"/>
      <c r="HG322" s="319"/>
      <c r="HH322" s="319"/>
      <c r="HI322" s="319"/>
      <c r="HJ322" s="319"/>
      <c r="HK322" s="319"/>
      <c r="HL322" s="319"/>
      <c r="HM322" s="319"/>
      <c r="HN322" s="319"/>
      <c r="HO322" s="319"/>
      <c r="HP322" s="319"/>
      <c r="HQ322" s="319"/>
      <c r="HR322" s="319"/>
    </row>
    <row r="323" spans="1:226" s="103" customFormat="1" ht="68.25" customHeight="1">
      <c r="A323" s="317"/>
      <c r="B323" s="168">
        <v>75405</v>
      </c>
      <c r="C323" s="77"/>
      <c r="D323" s="76"/>
      <c r="E323" s="316" t="s">
        <v>248</v>
      </c>
      <c r="F323" s="414">
        <f>F324</f>
        <v>0</v>
      </c>
      <c r="G323" s="414">
        <f t="shared" ref="G323:K323" si="90">G324</f>
        <v>0</v>
      </c>
      <c r="H323" s="414">
        <f t="shared" si="90"/>
        <v>0</v>
      </c>
      <c r="I323" s="414">
        <f t="shared" si="90"/>
        <v>0</v>
      </c>
      <c r="J323" s="414">
        <f t="shared" si="90"/>
        <v>0</v>
      </c>
      <c r="K323" s="414">
        <f t="shared" si="90"/>
        <v>20000</v>
      </c>
      <c r="L323" s="95">
        <f>SUM(F323:K323)</f>
        <v>20000</v>
      </c>
      <c r="M323" s="95">
        <f>M324</f>
        <v>20000</v>
      </c>
      <c r="N323" s="95">
        <f>N324</f>
        <v>0</v>
      </c>
      <c r="O323" s="868">
        <v>0</v>
      </c>
      <c r="P323" s="770" t="s">
        <v>286</v>
      </c>
      <c r="FM323" s="315"/>
      <c r="FN323" s="315"/>
      <c r="FO323" s="315"/>
      <c r="FP323" s="315"/>
      <c r="FQ323" s="315"/>
      <c r="FR323" s="315"/>
      <c r="FS323" s="315"/>
      <c r="FT323" s="315"/>
      <c r="FU323" s="315"/>
      <c r="FV323" s="315"/>
      <c r="FW323" s="315"/>
      <c r="FX323" s="315"/>
      <c r="FY323" s="315"/>
      <c r="FZ323" s="315"/>
      <c r="GA323" s="315"/>
      <c r="GB323" s="315"/>
      <c r="GC323" s="315"/>
      <c r="GD323" s="315"/>
      <c r="GE323" s="315"/>
      <c r="GF323" s="315"/>
      <c r="GG323" s="315"/>
      <c r="GH323" s="315"/>
      <c r="GI323" s="315"/>
      <c r="GJ323" s="315"/>
      <c r="GK323" s="315"/>
      <c r="GL323" s="315"/>
      <c r="GM323" s="315"/>
      <c r="GN323" s="315"/>
      <c r="GO323" s="315"/>
      <c r="GP323" s="315"/>
      <c r="GQ323" s="315"/>
      <c r="GR323" s="315"/>
      <c r="GS323" s="315"/>
      <c r="GT323" s="315"/>
      <c r="GU323" s="315"/>
      <c r="GV323" s="315"/>
      <c r="GW323" s="315"/>
      <c r="GX323" s="315"/>
      <c r="GY323" s="315"/>
      <c r="GZ323" s="315"/>
      <c r="HA323" s="315"/>
      <c r="HB323" s="315"/>
      <c r="HC323" s="315"/>
      <c r="HD323" s="315"/>
      <c r="HE323" s="315"/>
      <c r="HF323" s="315"/>
      <c r="HG323" s="315"/>
      <c r="HH323" s="315"/>
      <c r="HI323" s="315"/>
      <c r="HJ323" s="315"/>
      <c r="HK323" s="315"/>
      <c r="HL323" s="315"/>
      <c r="HM323" s="315"/>
      <c r="HN323" s="315"/>
      <c r="HO323" s="315"/>
      <c r="HP323" s="315"/>
      <c r="HQ323" s="315"/>
      <c r="HR323" s="315"/>
    </row>
    <row r="324" spans="1:226" s="322" customFormat="1" ht="71.25" customHeight="1">
      <c r="A324" s="701"/>
      <c r="B324" s="325"/>
      <c r="C324" s="720">
        <v>1</v>
      </c>
      <c r="D324" s="721"/>
      <c r="E324" s="323" t="s">
        <v>259</v>
      </c>
      <c r="F324" s="496"/>
      <c r="G324" s="234"/>
      <c r="H324" s="234"/>
      <c r="I324" s="234"/>
      <c r="J324" s="234"/>
      <c r="K324" s="517">
        <v>20000</v>
      </c>
      <c r="L324" s="518">
        <f t="shared" ref="L324" si="91">SUM(F324:K324)</f>
        <v>20000</v>
      </c>
      <c r="M324" s="518">
        <v>20000</v>
      </c>
      <c r="N324" s="518">
        <v>0</v>
      </c>
      <c r="O324" s="902">
        <v>0</v>
      </c>
      <c r="P324" s="763" t="s">
        <v>286</v>
      </c>
    </row>
    <row r="325" spans="1:226" s="103" customFormat="1" ht="68.25" customHeight="1">
      <c r="A325" s="700"/>
      <c r="B325" s="168">
        <v>75412</v>
      </c>
      <c r="C325" s="77"/>
      <c r="D325" s="76"/>
      <c r="E325" s="316" t="s">
        <v>85</v>
      </c>
      <c r="F325" s="414">
        <f>F326</f>
        <v>0</v>
      </c>
      <c r="G325" s="414">
        <f t="shared" ref="G325:J325" si="92">G326</f>
        <v>0</v>
      </c>
      <c r="H325" s="414">
        <f t="shared" si="92"/>
        <v>0</v>
      </c>
      <c r="I325" s="414">
        <f t="shared" si="92"/>
        <v>0</v>
      </c>
      <c r="J325" s="414">
        <f t="shared" si="92"/>
        <v>0</v>
      </c>
      <c r="K325" s="414">
        <f>K326+K337</f>
        <v>382000</v>
      </c>
      <c r="L325" s="95">
        <f t="shared" ref="L325:L326" si="93">SUM(F325:K325)</f>
        <v>382000</v>
      </c>
      <c r="M325" s="95">
        <f>M326+M337</f>
        <v>382000</v>
      </c>
      <c r="N325" s="95">
        <f>N326+N337</f>
        <v>31253.71</v>
      </c>
      <c r="O325" s="868">
        <f>N325/M325</f>
        <v>8.1815994764397909E-2</v>
      </c>
      <c r="P325" s="770" t="s">
        <v>286</v>
      </c>
      <c r="FM325" s="315"/>
      <c r="FN325" s="315"/>
      <c r="FO325" s="315"/>
      <c r="FP325" s="315"/>
      <c r="FQ325" s="315"/>
      <c r="FR325" s="315"/>
      <c r="FS325" s="315"/>
      <c r="FT325" s="315"/>
      <c r="FU325" s="315"/>
      <c r="FV325" s="315"/>
      <c r="FW325" s="315"/>
      <c r="FX325" s="315"/>
      <c r="FY325" s="315"/>
      <c r="FZ325" s="315"/>
      <c r="GA325" s="315"/>
      <c r="GB325" s="315"/>
      <c r="GC325" s="315"/>
      <c r="GD325" s="315"/>
      <c r="GE325" s="315"/>
      <c r="GF325" s="315"/>
      <c r="GG325" s="315"/>
      <c r="GH325" s="315"/>
      <c r="GI325" s="315"/>
      <c r="GJ325" s="315"/>
      <c r="GK325" s="315"/>
      <c r="GL325" s="315"/>
      <c r="GM325" s="315"/>
      <c r="GN325" s="315"/>
      <c r="GO325" s="315"/>
      <c r="GP325" s="315"/>
      <c r="GQ325" s="315"/>
      <c r="GR325" s="315"/>
      <c r="GS325" s="315"/>
      <c r="GT325" s="315"/>
      <c r="GU325" s="315"/>
      <c r="GV325" s="315"/>
      <c r="GW325" s="315"/>
      <c r="GX325" s="315"/>
      <c r="GY325" s="315"/>
      <c r="GZ325" s="315"/>
      <c r="HA325" s="315"/>
      <c r="HB325" s="315"/>
      <c r="HC325" s="315"/>
      <c r="HD325" s="315"/>
      <c r="HE325" s="315"/>
      <c r="HF325" s="315"/>
      <c r="HG325" s="315"/>
      <c r="HH325" s="315"/>
      <c r="HI325" s="315"/>
      <c r="HJ325" s="315"/>
      <c r="HK325" s="315"/>
      <c r="HL325" s="315"/>
      <c r="HM325" s="315"/>
      <c r="HN325" s="315"/>
      <c r="HO325" s="315"/>
      <c r="HP325" s="315"/>
      <c r="HQ325" s="315"/>
      <c r="HR325" s="315"/>
    </row>
    <row r="326" spans="1:226" s="314" customFormat="1" ht="68.25" customHeight="1">
      <c r="A326" s="394"/>
      <c r="B326" s="129"/>
      <c r="C326" s="245">
        <v>1</v>
      </c>
      <c r="D326" s="357"/>
      <c r="E326" s="483" t="s">
        <v>152</v>
      </c>
      <c r="F326" s="451"/>
      <c r="G326" s="423"/>
      <c r="H326" s="423"/>
      <c r="I326" s="423"/>
      <c r="J326" s="423"/>
      <c r="K326" s="392">
        <v>82000</v>
      </c>
      <c r="L326" s="392">
        <f t="shared" si="93"/>
        <v>82000</v>
      </c>
      <c r="M326" s="392">
        <v>82000</v>
      </c>
      <c r="N326" s="392">
        <v>31253.71</v>
      </c>
      <c r="O326" s="890">
        <f>N326/M326</f>
        <v>0.38114280487804875</v>
      </c>
      <c r="P326" s="762" t="s">
        <v>286</v>
      </c>
    </row>
    <row r="327" spans="1:226" s="97" customFormat="1" ht="47.4" customHeight="1">
      <c r="A327" s="394"/>
      <c r="B327" s="110"/>
      <c r="C327" s="23"/>
      <c r="D327" s="94"/>
      <c r="E327" s="299" t="s">
        <v>84</v>
      </c>
      <c r="F327" s="364"/>
      <c r="G327" s="107"/>
      <c r="H327" s="107"/>
      <c r="I327" s="107"/>
      <c r="J327" s="107"/>
      <c r="K327" s="107"/>
      <c r="L327" s="107"/>
      <c r="M327" s="107"/>
      <c r="N327" s="107"/>
      <c r="O327" s="884"/>
      <c r="P327" s="762"/>
    </row>
    <row r="328" spans="1:226" s="97" customFormat="1" ht="36" customHeight="1">
      <c r="A328" s="394"/>
      <c r="B328" s="110"/>
      <c r="C328" s="23"/>
      <c r="D328" s="464" t="s">
        <v>3</v>
      </c>
      <c r="E328" s="108" t="s">
        <v>902</v>
      </c>
      <c r="F328" s="364"/>
      <c r="G328" s="107"/>
      <c r="H328" s="107"/>
      <c r="I328" s="107"/>
      <c r="J328" s="107"/>
      <c r="K328" s="107"/>
      <c r="L328" s="107"/>
      <c r="M328" s="107"/>
      <c r="N328" s="107"/>
      <c r="O328" s="884"/>
      <c r="P328" s="762"/>
    </row>
    <row r="329" spans="1:226" s="97" customFormat="1" ht="65.400000000000006" customHeight="1">
      <c r="A329" s="394"/>
      <c r="B329" s="397"/>
      <c r="C329" s="23"/>
      <c r="D329" s="464" t="s">
        <v>3</v>
      </c>
      <c r="E329" s="108" t="s">
        <v>903</v>
      </c>
      <c r="F329" s="519"/>
      <c r="G329" s="421"/>
      <c r="H329" s="421"/>
      <c r="I329" s="421"/>
      <c r="J329" s="107"/>
      <c r="K329" s="421"/>
      <c r="L329" s="421"/>
      <c r="M329" s="1342"/>
      <c r="N329" s="421"/>
      <c r="O329" s="903"/>
      <c r="P329" s="762"/>
    </row>
    <row r="330" spans="1:226" s="415" customFormat="1" ht="185.4" customHeight="1">
      <c r="A330" s="394"/>
      <c r="B330" s="110"/>
      <c r="C330" s="23"/>
      <c r="D330" s="464" t="s">
        <v>3</v>
      </c>
      <c r="E330" s="422" t="s">
        <v>904</v>
      </c>
      <c r="F330" s="364"/>
      <c r="G330" s="107"/>
      <c r="H330" s="107"/>
      <c r="I330" s="107"/>
      <c r="J330" s="107"/>
      <c r="K330" s="107"/>
      <c r="L330" s="107"/>
      <c r="M330" s="107"/>
      <c r="N330" s="107"/>
      <c r="O330" s="884"/>
      <c r="P330" s="762"/>
    </row>
    <row r="331" spans="1:226" s="111" customFormat="1" ht="36" customHeight="1">
      <c r="A331" s="393"/>
      <c r="B331" s="117"/>
      <c r="C331" s="131"/>
      <c r="D331" s="464" t="s">
        <v>3</v>
      </c>
      <c r="E331" s="108" t="s">
        <v>905</v>
      </c>
      <c r="F331" s="312"/>
      <c r="G331" s="311"/>
      <c r="H331" s="311"/>
      <c r="I331" s="107"/>
      <c r="J331" s="107"/>
      <c r="K331" s="311"/>
      <c r="L331" s="311"/>
      <c r="M331" s="311"/>
      <c r="N331" s="311"/>
      <c r="O331" s="904"/>
      <c r="P331" s="775"/>
    </row>
    <row r="332" spans="1:226" s="111" customFormat="1" ht="84" customHeight="1">
      <c r="A332" s="393"/>
      <c r="B332" s="117"/>
      <c r="C332" s="131"/>
      <c r="D332" s="464" t="s">
        <v>3</v>
      </c>
      <c r="E332" s="422" t="s">
        <v>906</v>
      </c>
      <c r="F332" s="312"/>
      <c r="G332" s="311"/>
      <c r="H332" s="311"/>
      <c r="I332" s="107"/>
      <c r="J332" s="107"/>
      <c r="K332" s="311"/>
      <c r="L332" s="311"/>
      <c r="M332" s="311"/>
      <c r="N332" s="311"/>
      <c r="O332" s="904"/>
      <c r="P332" s="775"/>
    </row>
    <row r="333" spans="1:226" s="111" customFormat="1" ht="62.4" customHeight="1">
      <c r="A333" s="393"/>
      <c r="B333" s="117"/>
      <c r="C333" s="131"/>
      <c r="D333" s="464" t="s">
        <v>3</v>
      </c>
      <c r="E333" s="108" t="s">
        <v>907</v>
      </c>
      <c r="F333" s="312"/>
      <c r="G333" s="311"/>
      <c r="H333" s="311"/>
      <c r="I333" s="107"/>
      <c r="J333" s="107"/>
      <c r="K333" s="311"/>
      <c r="L333" s="311"/>
      <c r="M333" s="311"/>
      <c r="N333" s="311"/>
      <c r="O333" s="904"/>
      <c r="P333" s="775"/>
    </row>
    <row r="334" spans="1:226" s="111" customFormat="1" ht="106.5" customHeight="1">
      <c r="A334" s="393"/>
      <c r="B334" s="117"/>
      <c r="C334" s="131"/>
      <c r="D334" s="464" t="s">
        <v>3</v>
      </c>
      <c r="E334" s="108" t="s">
        <v>908</v>
      </c>
      <c r="F334" s="312"/>
      <c r="G334" s="311"/>
      <c r="H334" s="311"/>
      <c r="I334" s="107"/>
      <c r="J334" s="107"/>
      <c r="K334" s="311"/>
      <c r="L334" s="311"/>
      <c r="M334" s="311"/>
      <c r="N334" s="311"/>
      <c r="O334" s="904"/>
      <c r="P334" s="775"/>
    </row>
    <row r="335" spans="1:226" s="111" customFormat="1" ht="36" customHeight="1">
      <c r="A335" s="393"/>
      <c r="B335" s="117"/>
      <c r="C335" s="131"/>
      <c r="D335" s="464" t="s">
        <v>3</v>
      </c>
      <c r="E335" s="455" t="s">
        <v>909</v>
      </c>
      <c r="F335" s="312"/>
      <c r="G335" s="311"/>
      <c r="H335" s="311"/>
      <c r="I335" s="107"/>
      <c r="J335" s="107"/>
      <c r="K335" s="311"/>
      <c r="L335" s="311"/>
      <c r="M335" s="311"/>
      <c r="N335" s="311"/>
      <c r="O335" s="904"/>
      <c r="P335" s="775"/>
    </row>
    <row r="336" spans="1:226" s="111" customFormat="1" ht="59.4" customHeight="1">
      <c r="A336" s="636"/>
      <c r="B336" s="298"/>
      <c r="C336" s="131"/>
      <c r="D336" s="464" t="s">
        <v>3</v>
      </c>
      <c r="E336" s="108" t="s">
        <v>910</v>
      </c>
      <c r="F336" s="312"/>
      <c r="G336" s="311"/>
      <c r="H336" s="311"/>
      <c r="I336" s="236"/>
      <c r="J336" s="236"/>
      <c r="K336" s="311"/>
      <c r="L336" s="311"/>
      <c r="M336" s="311"/>
      <c r="N336" s="311"/>
      <c r="O336" s="904"/>
      <c r="P336" s="775"/>
    </row>
    <row r="337" spans="1:171" s="415" customFormat="1" ht="98.4" customHeight="1">
      <c r="A337" s="826"/>
      <c r="B337" s="651"/>
      <c r="C337" s="793">
        <v>2</v>
      </c>
      <c r="D337" s="829"/>
      <c r="E337" s="664" t="s">
        <v>405</v>
      </c>
      <c r="F337" s="827"/>
      <c r="G337" s="828"/>
      <c r="H337" s="828"/>
      <c r="I337" s="596"/>
      <c r="J337" s="596"/>
      <c r="K337" s="828">
        <v>300000</v>
      </c>
      <c r="L337" s="828">
        <f t="shared" ref="L337:M337" si="94">K337</f>
        <v>300000</v>
      </c>
      <c r="M337" s="828">
        <f t="shared" si="94"/>
        <v>300000</v>
      </c>
      <c r="N337" s="828">
        <v>0</v>
      </c>
      <c r="O337" s="905">
        <v>0</v>
      </c>
      <c r="P337" s="762" t="s">
        <v>286</v>
      </c>
    </row>
    <row r="338" spans="1:171" s="306" customFormat="1" ht="59.25" customHeight="1">
      <c r="A338" s="637"/>
      <c r="B338" s="152">
        <v>75414</v>
      </c>
      <c r="C338" s="151"/>
      <c r="D338" s="308"/>
      <c r="E338" s="307" t="s">
        <v>83</v>
      </c>
      <c r="F338" s="148">
        <f t="shared" ref="F338:K338" si="95">SUM(F339:F341)</f>
        <v>0</v>
      </c>
      <c r="G338" s="148">
        <f t="shared" si="95"/>
        <v>0</v>
      </c>
      <c r="H338" s="148">
        <f t="shared" si="95"/>
        <v>0</v>
      </c>
      <c r="I338" s="148">
        <f t="shared" si="95"/>
        <v>0</v>
      </c>
      <c r="J338" s="148">
        <f t="shared" si="95"/>
        <v>0</v>
      </c>
      <c r="K338" s="148">
        <f t="shared" si="95"/>
        <v>1500</v>
      </c>
      <c r="L338" s="147">
        <f t="shared" ref="L338:L341" si="96">SUM(F338:K338)</f>
        <v>1500</v>
      </c>
      <c r="M338" s="147">
        <f>M339+M341</f>
        <v>1500</v>
      </c>
      <c r="N338" s="147">
        <f>N339+N341</f>
        <v>0</v>
      </c>
      <c r="O338" s="906">
        <v>0</v>
      </c>
      <c r="P338" s="775" t="s">
        <v>286</v>
      </c>
      <c r="Q338" s="111"/>
      <c r="R338" s="111"/>
      <c r="S338" s="111"/>
      <c r="T338" s="111"/>
      <c r="U338" s="111"/>
      <c r="V338" s="111"/>
      <c r="W338" s="111"/>
      <c r="X338" s="111"/>
      <c r="Y338" s="111"/>
      <c r="Z338" s="111"/>
      <c r="AA338" s="111"/>
      <c r="AB338" s="111"/>
      <c r="AC338" s="111"/>
      <c r="AD338" s="111"/>
      <c r="AE338" s="111"/>
      <c r="AF338" s="111"/>
      <c r="AG338" s="111"/>
      <c r="AH338" s="111"/>
      <c r="AI338" s="111"/>
      <c r="AJ338" s="111"/>
      <c r="AK338" s="111"/>
      <c r="AL338" s="111"/>
      <c r="AM338" s="111"/>
      <c r="AN338" s="111"/>
      <c r="AO338" s="111"/>
      <c r="AP338" s="111"/>
      <c r="AQ338" s="111"/>
      <c r="AR338" s="111"/>
      <c r="AS338" s="111"/>
      <c r="AT338" s="111"/>
      <c r="AU338" s="111"/>
      <c r="AV338" s="111"/>
      <c r="AW338" s="111"/>
      <c r="AX338" s="111"/>
      <c r="AY338" s="111"/>
      <c r="AZ338" s="111"/>
      <c r="BA338" s="111"/>
      <c r="BB338" s="111"/>
      <c r="BC338" s="111"/>
      <c r="BD338" s="111"/>
      <c r="BE338" s="111"/>
      <c r="BF338" s="111"/>
      <c r="BG338" s="111"/>
      <c r="BH338" s="111"/>
      <c r="BI338" s="111"/>
      <c r="BJ338" s="111"/>
      <c r="BK338" s="111"/>
      <c r="BL338" s="111"/>
      <c r="BM338" s="111"/>
      <c r="BN338" s="111"/>
      <c r="BO338" s="111"/>
      <c r="BP338" s="111"/>
      <c r="BQ338" s="111"/>
      <c r="BR338" s="111"/>
      <c r="BS338" s="111"/>
      <c r="BT338" s="111"/>
      <c r="BU338" s="111"/>
      <c r="BV338" s="111"/>
      <c r="BW338" s="111"/>
      <c r="BX338" s="111"/>
      <c r="BY338" s="111"/>
      <c r="BZ338" s="111"/>
      <c r="CA338" s="111"/>
      <c r="CB338" s="111"/>
      <c r="CC338" s="111"/>
      <c r="CD338" s="111"/>
      <c r="CE338" s="111"/>
      <c r="CF338" s="304"/>
      <c r="CG338" s="304"/>
      <c r="CH338" s="304"/>
      <c r="CI338" s="304"/>
      <c r="CJ338" s="304"/>
      <c r="CK338" s="304"/>
      <c r="CL338" s="304"/>
      <c r="CM338" s="304"/>
      <c r="CN338" s="304"/>
      <c r="CO338" s="304"/>
      <c r="CP338" s="304"/>
      <c r="CQ338" s="304"/>
      <c r="CR338" s="111"/>
      <c r="CS338" s="111"/>
      <c r="CT338" s="111"/>
      <c r="CU338" s="111"/>
      <c r="CV338" s="111"/>
      <c r="CW338" s="111"/>
      <c r="CX338" s="111"/>
      <c r="CY338" s="111"/>
      <c r="CZ338" s="111"/>
      <c r="DA338" s="111"/>
      <c r="DB338" s="111"/>
      <c r="DC338" s="111"/>
      <c r="DD338" s="111"/>
      <c r="DE338" s="111"/>
      <c r="DF338" s="111"/>
      <c r="DG338" s="111"/>
      <c r="DH338" s="111"/>
      <c r="DI338" s="111"/>
      <c r="DJ338" s="111"/>
      <c r="DK338" s="111"/>
      <c r="DL338" s="111"/>
      <c r="DM338" s="111"/>
      <c r="DN338" s="111"/>
      <c r="DO338" s="111"/>
      <c r="DP338" s="111"/>
      <c r="DQ338" s="111"/>
      <c r="DR338" s="111"/>
      <c r="DS338" s="304"/>
      <c r="DT338" s="304"/>
      <c r="DU338" s="304"/>
      <c r="DV338" s="304"/>
      <c r="DW338" s="304"/>
      <c r="DX338" s="304"/>
      <c r="DY338" s="304"/>
      <c r="DZ338" s="304"/>
      <c r="EA338" s="304"/>
      <c r="EB338" s="304"/>
      <c r="EC338" s="304"/>
      <c r="ED338" s="304"/>
      <c r="EE338" s="304"/>
      <c r="EF338" s="304"/>
      <c r="EG338" s="304"/>
      <c r="EH338" s="304"/>
      <c r="EI338" s="304"/>
      <c r="EJ338" s="304"/>
      <c r="EK338" s="304"/>
      <c r="EL338" s="111"/>
      <c r="EM338" s="111"/>
      <c r="EN338" s="111"/>
      <c r="EO338" s="111"/>
      <c r="EP338" s="111"/>
      <c r="EQ338" s="111"/>
      <c r="ER338" s="111"/>
      <c r="ES338" s="111"/>
      <c r="ET338" s="111"/>
      <c r="EU338" s="111"/>
      <c r="EV338" s="111"/>
      <c r="EW338" s="111"/>
      <c r="EX338" s="111"/>
      <c r="EY338" s="111"/>
      <c r="EZ338" s="111"/>
      <c r="FA338" s="111"/>
      <c r="FB338" s="111"/>
      <c r="FC338" s="111"/>
      <c r="FD338" s="111"/>
      <c r="FE338" s="111"/>
      <c r="FF338" s="111"/>
      <c r="FG338" s="111"/>
      <c r="FH338" s="111"/>
      <c r="FI338" s="111"/>
      <c r="FJ338" s="111"/>
      <c r="FK338" s="111"/>
      <c r="FL338" s="111"/>
      <c r="FM338" s="111"/>
      <c r="FN338" s="111"/>
      <c r="FO338" s="111"/>
    </row>
    <row r="339" spans="1:171" s="97" customFormat="1" ht="59.25" customHeight="1">
      <c r="A339" s="638"/>
      <c r="B339" s="129"/>
      <c r="C339" s="23">
        <v>1</v>
      </c>
      <c r="D339" s="134"/>
      <c r="E339" s="93" t="s">
        <v>210</v>
      </c>
      <c r="F339" s="310"/>
      <c r="G339" s="309"/>
      <c r="H339" s="309"/>
      <c r="I339" s="144"/>
      <c r="J339" s="144"/>
      <c r="K339" s="309">
        <v>1000</v>
      </c>
      <c r="L339" s="309">
        <f t="shared" si="96"/>
        <v>1000</v>
      </c>
      <c r="M339" s="309">
        <v>1000</v>
      </c>
      <c r="N339" s="309">
        <v>0</v>
      </c>
      <c r="O339" s="907">
        <v>0</v>
      </c>
      <c r="P339" s="775" t="s">
        <v>286</v>
      </c>
      <c r="Q339" s="111"/>
      <c r="R339" s="111"/>
      <c r="S339" s="111"/>
      <c r="T339" s="111"/>
      <c r="U339" s="111"/>
      <c r="V339" s="111"/>
      <c r="W339" s="111"/>
      <c r="X339" s="111"/>
      <c r="Y339" s="111"/>
      <c r="Z339" s="111"/>
      <c r="AA339" s="111"/>
      <c r="AB339" s="111"/>
      <c r="AC339" s="111"/>
      <c r="AD339" s="111"/>
      <c r="AE339" s="111"/>
      <c r="AF339" s="111"/>
      <c r="AG339" s="111"/>
      <c r="AH339" s="111"/>
      <c r="AI339" s="111"/>
      <c r="AJ339" s="111"/>
      <c r="AK339" s="111"/>
      <c r="AL339" s="111"/>
      <c r="AM339" s="111"/>
      <c r="AN339" s="111"/>
      <c r="AO339" s="111"/>
      <c r="AP339" s="111"/>
      <c r="AQ339" s="111"/>
      <c r="AR339" s="111"/>
      <c r="AS339" s="111"/>
      <c r="AT339" s="111"/>
      <c r="AU339" s="111"/>
      <c r="AV339" s="111"/>
      <c r="AW339" s="111"/>
      <c r="AX339" s="111"/>
      <c r="AY339" s="111"/>
      <c r="AZ339" s="111"/>
      <c r="BA339" s="111"/>
      <c r="BB339" s="111"/>
      <c r="BC339" s="111"/>
      <c r="BD339" s="111"/>
      <c r="BE339" s="111"/>
      <c r="BF339" s="111"/>
      <c r="BG339" s="111"/>
      <c r="BH339" s="111"/>
      <c r="BI339" s="111"/>
      <c r="BJ339" s="111"/>
      <c r="BK339" s="111"/>
      <c r="BL339" s="111"/>
      <c r="BM339" s="111"/>
      <c r="BN339" s="111"/>
      <c r="BO339" s="111"/>
      <c r="BP339" s="111"/>
      <c r="BQ339" s="111"/>
      <c r="BR339" s="111"/>
      <c r="BS339" s="111"/>
      <c r="BT339" s="111"/>
      <c r="BU339" s="111"/>
      <c r="BV339" s="111"/>
      <c r="BW339" s="111"/>
      <c r="BX339" s="111"/>
      <c r="BY339" s="111"/>
      <c r="BZ339" s="111"/>
      <c r="CA339" s="111"/>
      <c r="CB339" s="111"/>
      <c r="CC339" s="111"/>
      <c r="CD339" s="111"/>
      <c r="CE339" s="111"/>
      <c r="CF339" s="160"/>
      <c r="CG339" s="160"/>
      <c r="CH339" s="160"/>
      <c r="CI339" s="160"/>
      <c r="CJ339" s="160"/>
      <c r="CK339" s="160"/>
      <c r="CL339" s="160"/>
      <c r="CM339" s="160"/>
      <c r="CN339" s="160"/>
      <c r="CO339" s="160"/>
      <c r="CP339" s="160"/>
      <c r="CQ339" s="160"/>
      <c r="CR339" s="111"/>
      <c r="CS339" s="111"/>
      <c r="CT339" s="111"/>
      <c r="CU339" s="111"/>
      <c r="CV339" s="111"/>
      <c r="CW339" s="111"/>
      <c r="CX339" s="111"/>
      <c r="CY339" s="111"/>
      <c r="CZ339" s="111"/>
      <c r="DA339" s="111"/>
      <c r="DB339" s="111"/>
      <c r="DC339" s="111"/>
      <c r="DD339" s="111"/>
      <c r="DE339" s="111"/>
      <c r="DF339" s="111"/>
      <c r="DG339" s="111"/>
      <c r="DH339" s="111"/>
      <c r="DI339" s="111"/>
      <c r="DJ339" s="111"/>
      <c r="DK339" s="111"/>
      <c r="DL339" s="111"/>
      <c r="DM339" s="111"/>
      <c r="DN339" s="111"/>
      <c r="DO339" s="111"/>
      <c r="DP339" s="111"/>
      <c r="DQ339" s="111"/>
      <c r="DR339" s="111"/>
      <c r="DS339" s="111"/>
      <c r="DT339" s="111"/>
      <c r="DU339" s="160"/>
      <c r="DV339" s="160"/>
      <c r="DW339" s="160"/>
      <c r="DX339" s="160"/>
      <c r="DY339" s="160"/>
      <c r="DZ339" s="160"/>
      <c r="EA339" s="160"/>
      <c r="EB339" s="160"/>
      <c r="EC339" s="160"/>
      <c r="ED339" s="160"/>
      <c r="EE339" s="160"/>
      <c r="EF339" s="160"/>
      <c r="EG339" s="160"/>
      <c r="EH339" s="160"/>
      <c r="EI339" s="160"/>
      <c r="EJ339" s="160"/>
      <c r="EK339" s="160"/>
      <c r="EL339" s="111"/>
      <c r="EM339" s="111"/>
      <c r="EN339" s="111"/>
      <c r="EO339" s="111"/>
      <c r="EP339" s="111"/>
      <c r="EQ339" s="111"/>
      <c r="ER339" s="111"/>
      <c r="ES339" s="111"/>
      <c r="ET339" s="111"/>
      <c r="EU339" s="111"/>
      <c r="EV339" s="111"/>
      <c r="EW339" s="111"/>
      <c r="EX339" s="111"/>
      <c r="EY339" s="111"/>
      <c r="EZ339" s="111"/>
      <c r="FA339" s="111"/>
      <c r="FB339" s="111"/>
      <c r="FC339" s="111"/>
      <c r="FD339" s="111"/>
      <c r="FE339" s="111"/>
      <c r="FF339" s="111"/>
      <c r="FG339" s="111"/>
      <c r="FH339" s="111"/>
      <c r="FI339" s="111"/>
      <c r="FJ339" s="111"/>
      <c r="FK339" s="111"/>
      <c r="FL339" s="111"/>
      <c r="FM339" s="111"/>
      <c r="FN339" s="111"/>
      <c r="FO339" s="111"/>
    </row>
    <row r="340" spans="1:171" s="1038" customFormat="1" ht="43.5" customHeight="1">
      <c r="A340" s="1035"/>
      <c r="B340" s="710"/>
      <c r="C340" s="1036"/>
      <c r="D340" s="416"/>
      <c r="E340" s="1292" t="s">
        <v>826</v>
      </c>
      <c r="F340" s="1264"/>
      <c r="G340" s="1264"/>
      <c r="H340" s="1264"/>
      <c r="I340" s="1264"/>
      <c r="J340" s="1264"/>
      <c r="K340" s="1264"/>
      <c r="L340" s="1264"/>
      <c r="M340" s="1264"/>
      <c r="N340" s="1264"/>
      <c r="O340" s="1265"/>
      <c r="P340" s="1042"/>
      <c r="Q340" s="763"/>
      <c r="R340" s="763"/>
      <c r="S340" s="1044"/>
    </row>
    <row r="341" spans="1:171" s="97" customFormat="1" ht="59.25" customHeight="1">
      <c r="A341" s="638"/>
      <c r="B341" s="129"/>
      <c r="C341" s="594">
        <v>2</v>
      </c>
      <c r="D341" s="603"/>
      <c r="E341" s="664" t="s">
        <v>82</v>
      </c>
      <c r="F341" s="827"/>
      <c r="G341" s="828"/>
      <c r="H341" s="828"/>
      <c r="I341" s="596"/>
      <c r="J341" s="596"/>
      <c r="K341" s="828">
        <v>500</v>
      </c>
      <c r="L341" s="828">
        <f t="shared" si="96"/>
        <v>500</v>
      </c>
      <c r="M341" s="828">
        <v>500</v>
      </c>
      <c r="N341" s="828">
        <v>0</v>
      </c>
      <c r="O341" s="905">
        <v>0</v>
      </c>
      <c r="P341" s="775" t="s">
        <v>286</v>
      </c>
      <c r="Q341" s="111"/>
      <c r="R341" s="111"/>
      <c r="S341" s="111"/>
      <c r="T341" s="111"/>
      <c r="U341" s="111"/>
      <c r="V341" s="111"/>
      <c r="W341" s="111"/>
      <c r="X341" s="111"/>
      <c r="Y341" s="111"/>
      <c r="Z341" s="111"/>
      <c r="AA341" s="111"/>
      <c r="AB341" s="111"/>
      <c r="AC341" s="111"/>
      <c r="AD341" s="111"/>
      <c r="AE341" s="111"/>
      <c r="AF341" s="111"/>
      <c r="AG341" s="111"/>
      <c r="AH341" s="111"/>
      <c r="AI341" s="111"/>
      <c r="AJ341" s="111"/>
      <c r="AK341" s="111"/>
      <c r="AL341" s="111"/>
      <c r="AM341" s="111"/>
      <c r="AN341" s="111"/>
      <c r="AO341" s="111"/>
      <c r="AP341" s="111"/>
      <c r="AQ341" s="111"/>
      <c r="AR341" s="111"/>
      <c r="AS341" s="111"/>
      <c r="AT341" s="111"/>
      <c r="AU341" s="111"/>
      <c r="AV341" s="111"/>
      <c r="AW341" s="111"/>
      <c r="AX341" s="111"/>
      <c r="AY341" s="111"/>
      <c r="AZ341" s="111"/>
      <c r="BA341" s="111"/>
      <c r="BB341" s="111"/>
      <c r="BC341" s="111"/>
      <c r="BD341" s="111"/>
      <c r="BE341" s="111"/>
      <c r="BF341" s="111"/>
      <c r="BG341" s="111"/>
      <c r="BH341" s="111"/>
      <c r="BI341" s="111"/>
      <c r="BJ341" s="111"/>
      <c r="BK341" s="111"/>
      <c r="BL341" s="111"/>
      <c r="BM341" s="111"/>
      <c r="BN341" s="111"/>
      <c r="BO341" s="111"/>
      <c r="BP341" s="111"/>
      <c r="BQ341" s="111"/>
      <c r="BR341" s="111"/>
      <c r="BS341" s="111"/>
      <c r="BT341" s="111"/>
      <c r="BU341" s="111"/>
      <c r="BV341" s="111"/>
      <c r="BW341" s="111"/>
      <c r="BX341" s="111"/>
      <c r="BY341" s="111"/>
      <c r="BZ341" s="111"/>
      <c r="CA341" s="111"/>
      <c r="CB341" s="111"/>
      <c r="CC341" s="111"/>
      <c r="CD341" s="111"/>
      <c r="CE341" s="111"/>
      <c r="CF341" s="304"/>
      <c r="CG341" s="304"/>
      <c r="CH341" s="304"/>
      <c r="CI341" s="304"/>
      <c r="CJ341" s="304"/>
      <c r="CK341" s="304"/>
      <c r="CL341" s="304"/>
      <c r="CM341" s="304"/>
      <c r="CN341" s="304"/>
      <c r="CO341" s="304"/>
      <c r="CP341" s="304"/>
      <c r="CQ341" s="304"/>
      <c r="CR341" s="111"/>
      <c r="CS341" s="111"/>
      <c r="CT341" s="111"/>
      <c r="CU341" s="111"/>
      <c r="CV341" s="111"/>
      <c r="CW341" s="111"/>
      <c r="CX341" s="111"/>
      <c r="CY341" s="111"/>
      <c r="CZ341" s="111"/>
      <c r="DA341" s="111"/>
      <c r="DB341" s="111"/>
      <c r="DC341" s="111"/>
      <c r="DD341" s="111"/>
      <c r="DE341" s="111"/>
      <c r="DF341" s="111"/>
      <c r="DG341" s="111"/>
      <c r="DH341" s="111"/>
      <c r="DI341" s="111"/>
      <c r="DJ341" s="111"/>
      <c r="DK341" s="111"/>
      <c r="DL341" s="111"/>
      <c r="DM341" s="111"/>
      <c r="DN341" s="111"/>
      <c r="DO341" s="111"/>
      <c r="DP341" s="111"/>
      <c r="DQ341" s="111"/>
      <c r="DR341" s="111"/>
      <c r="DS341" s="304"/>
      <c r="DT341" s="304"/>
      <c r="DU341" s="304"/>
      <c r="DV341" s="304"/>
      <c r="DW341" s="304"/>
      <c r="DX341" s="304"/>
      <c r="DY341" s="304"/>
      <c r="DZ341" s="304"/>
      <c r="EA341" s="304"/>
      <c r="EB341" s="304"/>
      <c r="EC341" s="304"/>
      <c r="ED341" s="304"/>
      <c r="EE341" s="304"/>
      <c r="EF341" s="304"/>
      <c r="EG341" s="304"/>
      <c r="EH341" s="304"/>
      <c r="EI341" s="304"/>
      <c r="EJ341" s="304"/>
      <c r="EK341" s="304"/>
      <c r="EL341" s="111"/>
      <c r="EM341" s="111"/>
      <c r="EN341" s="111"/>
      <c r="EO341" s="111"/>
      <c r="EP341" s="111"/>
      <c r="EQ341" s="111"/>
      <c r="ER341" s="111"/>
      <c r="ES341" s="111"/>
      <c r="ET341" s="111"/>
      <c r="EU341" s="111"/>
      <c r="EV341" s="111"/>
      <c r="EW341" s="111"/>
      <c r="EX341" s="111"/>
      <c r="EY341" s="111"/>
      <c r="EZ341" s="111"/>
      <c r="FA341" s="111"/>
      <c r="FB341" s="111"/>
      <c r="FC341" s="111"/>
      <c r="FD341" s="111"/>
      <c r="FE341" s="111"/>
      <c r="FF341" s="111"/>
      <c r="FG341" s="111"/>
      <c r="FH341" s="111"/>
      <c r="FI341" s="111"/>
      <c r="FJ341" s="111"/>
      <c r="FK341" s="111"/>
      <c r="FL341" s="111"/>
      <c r="FM341" s="111"/>
      <c r="FN341" s="111"/>
      <c r="FO341" s="111"/>
    </row>
    <row r="342" spans="1:171" s="1038" customFormat="1" ht="43.5" customHeight="1">
      <c r="A342" s="1035"/>
      <c r="B342" s="710"/>
      <c r="C342" s="1216"/>
      <c r="D342" s="1217"/>
      <c r="E342" s="1318" t="s">
        <v>826</v>
      </c>
      <c r="F342" s="1283"/>
      <c r="G342" s="1283"/>
      <c r="H342" s="1283"/>
      <c r="I342" s="1283"/>
      <c r="J342" s="1283"/>
      <c r="K342" s="1283"/>
      <c r="L342" s="1283"/>
      <c r="M342" s="1283"/>
      <c r="N342" s="1283"/>
      <c r="O342" s="1284"/>
      <c r="P342" s="1042"/>
      <c r="Q342" s="763"/>
      <c r="R342" s="763"/>
      <c r="S342" s="1044"/>
    </row>
    <row r="343" spans="1:171" s="306" customFormat="1" ht="59.25" customHeight="1">
      <c r="A343" s="637"/>
      <c r="B343" s="152">
        <v>75416</v>
      </c>
      <c r="C343" s="151"/>
      <c r="D343" s="308"/>
      <c r="E343" s="307" t="s">
        <v>81</v>
      </c>
      <c r="F343" s="147">
        <f>F344+F351+F358+F360+F361+F362+F363</f>
        <v>0</v>
      </c>
      <c r="G343" s="147">
        <f>G344+G351+G358+G360+G361+G362+G363</f>
        <v>0</v>
      </c>
      <c r="H343" s="147">
        <f>H344+H351+H358+H360+H361+H362+H363</f>
        <v>0</v>
      </c>
      <c r="I343" s="147">
        <f>I344+I351+I358+I360+I361+I362+I363</f>
        <v>0</v>
      </c>
      <c r="J343" s="147">
        <f>J344+J351+J358+J360+J361+J362+J363</f>
        <v>0</v>
      </c>
      <c r="K343" s="147" t="e">
        <f>K344+K351+K358+K359+K360+K361+K362+K363</f>
        <v>#REF!</v>
      </c>
      <c r="L343" s="147">
        <f>L344+L351+L358+L359+L360+L361+L362+L363</f>
        <v>604261</v>
      </c>
      <c r="M343" s="147">
        <f>M344+M351+M358+M359+M360+M361+M362+M363</f>
        <v>604261</v>
      </c>
      <c r="N343" s="147">
        <f>N344+N351+N358+N359+N360+N361+N362+N363</f>
        <v>238389</v>
      </c>
      <c r="O343" s="906">
        <f>N343/M343</f>
        <v>0.39451329806159918</v>
      </c>
      <c r="P343" s="775" t="s">
        <v>286</v>
      </c>
      <c r="Q343" s="111"/>
      <c r="R343" s="111"/>
      <c r="S343" s="111"/>
      <c r="T343" s="111"/>
      <c r="U343" s="111"/>
      <c r="V343" s="111"/>
      <c r="W343" s="111"/>
      <c r="X343" s="111"/>
      <c r="Y343" s="111"/>
      <c r="Z343" s="111"/>
      <c r="AA343" s="111"/>
      <c r="AB343" s="111"/>
      <c r="AC343" s="111"/>
      <c r="AD343" s="111"/>
      <c r="AE343" s="111"/>
      <c r="AF343" s="111"/>
      <c r="AG343" s="111"/>
      <c r="AH343" s="111"/>
      <c r="AI343" s="111"/>
      <c r="AJ343" s="111"/>
      <c r="AK343" s="111"/>
      <c r="AL343" s="111"/>
      <c r="AM343" s="111"/>
      <c r="AN343" s="111"/>
      <c r="AO343" s="111"/>
      <c r="AP343" s="111"/>
      <c r="AQ343" s="111"/>
      <c r="AR343" s="111"/>
      <c r="AS343" s="111"/>
      <c r="AT343" s="111"/>
      <c r="AU343" s="111"/>
      <c r="AV343" s="111"/>
      <c r="AW343" s="111"/>
      <c r="AX343" s="111"/>
      <c r="AY343" s="111"/>
      <c r="AZ343" s="111"/>
      <c r="BA343" s="111"/>
      <c r="BB343" s="111"/>
      <c r="BC343" s="111"/>
      <c r="BD343" s="111"/>
      <c r="BE343" s="111"/>
      <c r="BF343" s="111"/>
      <c r="BG343" s="111"/>
      <c r="BH343" s="111"/>
      <c r="BI343" s="111"/>
      <c r="BJ343" s="111"/>
      <c r="BK343" s="111"/>
      <c r="BL343" s="111"/>
      <c r="BM343" s="111"/>
      <c r="BN343" s="111"/>
      <c r="BO343" s="111"/>
      <c r="BP343" s="111"/>
      <c r="BQ343" s="111"/>
      <c r="BR343" s="111"/>
      <c r="BS343" s="111"/>
      <c r="BT343" s="111"/>
      <c r="BU343" s="111"/>
      <c r="BV343" s="111"/>
      <c r="BW343" s="111"/>
      <c r="BX343" s="111"/>
      <c r="BY343" s="111"/>
      <c r="BZ343" s="111"/>
      <c r="CA343" s="111"/>
      <c r="CB343" s="111"/>
      <c r="CC343" s="111"/>
      <c r="CD343" s="111"/>
      <c r="CE343" s="111"/>
      <c r="CF343" s="160"/>
      <c r="CG343" s="160"/>
      <c r="CH343" s="160"/>
      <c r="CI343" s="160"/>
      <c r="CJ343" s="160"/>
      <c r="CK343" s="160"/>
      <c r="CL343" s="160"/>
      <c r="CM343" s="160"/>
      <c r="CN343" s="160"/>
      <c r="CO343" s="160"/>
      <c r="CP343" s="160"/>
      <c r="CQ343" s="160"/>
      <c r="CR343" s="111"/>
      <c r="CS343" s="111"/>
      <c r="CT343" s="111"/>
      <c r="CU343" s="111"/>
      <c r="CV343" s="111"/>
      <c r="CW343" s="111"/>
      <c r="CX343" s="111"/>
      <c r="CY343" s="111"/>
      <c r="CZ343" s="111"/>
      <c r="DA343" s="111"/>
      <c r="DB343" s="111"/>
      <c r="DC343" s="111"/>
      <c r="DD343" s="111"/>
      <c r="DE343" s="111"/>
      <c r="DF343" s="111"/>
      <c r="DG343" s="111"/>
      <c r="DH343" s="111"/>
      <c r="DI343" s="111"/>
      <c r="DJ343" s="111"/>
      <c r="DK343" s="111"/>
      <c r="DL343" s="111"/>
      <c r="DM343" s="111"/>
      <c r="DN343" s="111"/>
      <c r="DO343" s="111"/>
      <c r="DP343" s="111"/>
      <c r="DQ343" s="111"/>
      <c r="DR343" s="111"/>
      <c r="DS343" s="111"/>
      <c r="DT343" s="111"/>
      <c r="DU343" s="160"/>
      <c r="DV343" s="160"/>
      <c r="DW343" s="160"/>
      <c r="DX343" s="160"/>
      <c r="DY343" s="160"/>
      <c r="DZ343" s="160"/>
      <c r="EA343" s="160"/>
      <c r="EB343" s="160"/>
      <c r="EC343" s="160"/>
      <c r="ED343" s="160"/>
      <c r="EE343" s="160"/>
      <c r="EF343" s="160"/>
      <c r="EG343" s="160"/>
      <c r="EH343" s="160"/>
      <c r="EI343" s="160"/>
      <c r="EJ343" s="160"/>
      <c r="EK343" s="160"/>
      <c r="EL343" s="111"/>
      <c r="EM343" s="111"/>
      <c r="EN343" s="111"/>
      <c r="EO343" s="111"/>
      <c r="EP343" s="111"/>
      <c r="EQ343" s="111"/>
      <c r="ER343" s="111"/>
      <c r="ES343" s="111"/>
      <c r="ET343" s="111"/>
      <c r="EU343" s="111"/>
      <c r="EV343" s="111"/>
      <c r="EW343" s="111"/>
      <c r="EX343" s="111"/>
      <c r="EY343" s="111"/>
      <c r="EZ343" s="111"/>
      <c r="FA343" s="111"/>
      <c r="FB343" s="111"/>
      <c r="FC343" s="111"/>
      <c r="FD343" s="111"/>
      <c r="FE343" s="111"/>
      <c r="FF343" s="111"/>
      <c r="FG343" s="111"/>
      <c r="FH343" s="111"/>
      <c r="FI343" s="111"/>
      <c r="FJ343" s="111"/>
      <c r="FK343" s="111"/>
      <c r="FL343" s="111"/>
      <c r="FM343" s="111"/>
      <c r="FN343" s="111"/>
      <c r="FO343" s="111"/>
    </row>
    <row r="344" spans="1:171" s="160" customFormat="1" ht="54.9" customHeight="1">
      <c r="A344" s="639"/>
      <c r="B344" s="178"/>
      <c r="C344" s="101">
        <v>1</v>
      </c>
      <c r="D344" s="100"/>
      <c r="E344" s="546" t="s">
        <v>80</v>
      </c>
      <c r="F344" s="192"/>
      <c r="G344" s="436"/>
      <c r="H344" s="436"/>
      <c r="I344" s="436"/>
      <c r="J344" s="436"/>
      <c r="K344" s="436" t="e">
        <f>#REF!+#REF!+#REF!+#REF!+#REF!</f>
        <v>#REF!</v>
      </c>
      <c r="L344" s="436">
        <f>SUM(L346:L350)</f>
        <v>543261</v>
      </c>
      <c r="M344" s="436">
        <f t="shared" ref="M344:N344" si="97">SUM(M346:M350)</f>
        <v>543261</v>
      </c>
      <c r="N344" s="436">
        <f t="shared" si="97"/>
        <v>224488.41999999998</v>
      </c>
      <c r="O344" s="908">
        <f>N344/M344</f>
        <v>0.41322388317953984</v>
      </c>
      <c r="P344" s="775" t="s">
        <v>286</v>
      </c>
      <c r="Q344" s="111"/>
      <c r="R344" s="111"/>
      <c r="S344" s="111"/>
      <c r="T344" s="111"/>
      <c r="U344" s="111"/>
      <c r="V344" s="111"/>
      <c r="W344" s="111"/>
      <c r="X344" s="111"/>
      <c r="Y344" s="111"/>
      <c r="Z344" s="111"/>
      <c r="AA344" s="111"/>
      <c r="AB344" s="111"/>
      <c r="AC344" s="111"/>
      <c r="AD344" s="111"/>
      <c r="AE344" s="111"/>
      <c r="AF344" s="111"/>
      <c r="AG344" s="111"/>
      <c r="AH344" s="111"/>
      <c r="AI344" s="111"/>
      <c r="AJ344" s="111"/>
      <c r="AK344" s="111"/>
      <c r="AL344" s="111"/>
      <c r="AM344" s="111"/>
      <c r="AN344" s="111"/>
      <c r="AO344" s="111"/>
      <c r="AP344" s="111"/>
      <c r="AQ344" s="111"/>
      <c r="AR344" s="111"/>
      <c r="AS344" s="111"/>
      <c r="AT344" s="111"/>
      <c r="AU344" s="111"/>
      <c r="AV344" s="111"/>
      <c r="AW344" s="111"/>
      <c r="AX344" s="111"/>
      <c r="AY344" s="111"/>
      <c r="AZ344" s="111"/>
      <c r="BA344" s="111"/>
      <c r="BB344" s="111"/>
      <c r="BC344" s="111"/>
      <c r="BD344" s="111"/>
      <c r="BE344" s="111"/>
      <c r="BF344" s="111"/>
      <c r="BG344" s="111"/>
      <c r="BH344" s="111"/>
      <c r="BI344" s="111"/>
      <c r="BJ344" s="111"/>
      <c r="BK344" s="111"/>
      <c r="BL344" s="111"/>
      <c r="BM344" s="111"/>
      <c r="BN344" s="111"/>
      <c r="BO344" s="111"/>
      <c r="BP344" s="111"/>
      <c r="BQ344" s="111"/>
      <c r="BR344" s="111"/>
      <c r="BS344" s="111"/>
      <c r="BT344" s="111"/>
      <c r="BU344" s="111"/>
      <c r="BV344" s="111"/>
      <c r="BW344" s="111"/>
      <c r="BX344" s="111"/>
      <c r="BY344" s="111"/>
      <c r="BZ344" s="111"/>
      <c r="CA344" s="111"/>
      <c r="CB344" s="111"/>
      <c r="CC344" s="111"/>
      <c r="CD344" s="111"/>
      <c r="CE344" s="111"/>
      <c r="CF344" s="304"/>
      <c r="CG344" s="304"/>
      <c r="CH344" s="304"/>
      <c r="CI344" s="304"/>
      <c r="CJ344" s="304"/>
      <c r="CK344" s="304"/>
      <c r="CL344" s="304"/>
      <c r="CM344" s="304"/>
      <c r="CN344" s="304"/>
      <c r="CO344" s="304"/>
      <c r="CP344" s="304"/>
      <c r="CQ344" s="304"/>
      <c r="CR344" s="111"/>
      <c r="CS344" s="111"/>
      <c r="CT344" s="111"/>
      <c r="CU344" s="111"/>
      <c r="CV344" s="111"/>
      <c r="CW344" s="111"/>
      <c r="CX344" s="111"/>
      <c r="CY344" s="111"/>
      <c r="CZ344" s="111"/>
      <c r="DA344" s="111"/>
      <c r="DB344" s="111"/>
      <c r="DC344" s="111"/>
      <c r="DD344" s="111"/>
      <c r="DE344" s="111"/>
      <c r="DF344" s="111"/>
      <c r="DG344" s="111"/>
      <c r="DH344" s="111"/>
      <c r="DI344" s="111"/>
      <c r="DJ344" s="111"/>
      <c r="DK344" s="111"/>
      <c r="DL344" s="111"/>
      <c r="DM344" s="111"/>
      <c r="DN344" s="111"/>
      <c r="DO344" s="111"/>
      <c r="DP344" s="111"/>
      <c r="DQ344" s="111"/>
      <c r="DR344" s="111"/>
      <c r="DS344" s="304"/>
      <c r="DT344" s="304"/>
      <c r="DU344" s="304"/>
      <c r="DV344" s="304"/>
      <c r="DW344" s="304"/>
      <c r="DX344" s="304"/>
      <c r="DY344" s="304"/>
      <c r="DZ344" s="304"/>
      <c r="EA344" s="304"/>
      <c r="EB344" s="304"/>
      <c r="EC344" s="304"/>
      <c r="ED344" s="304"/>
      <c r="EE344" s="304"/>
      <c r="EF344" s="304"/>
      <c r="EG344" s="304"/>
      <c r="EH344" s="304"/>
      <c r="EI344" s="304"/>
      <c r="EJ344" s="304"/>
      <c r="EK344" s="304"/>
      <c r="EL344" s="111"/>
      <c r="EM344" s="111"/>
      <c r="EN344" s="111"/>
      <c r="EO344" s="111"/>
      <c r="EP344" s="111"/>
      <c r="EQ344" s="111"/>
      <c r="ER344" s="111"/>
      <c r="ES344" s="111"/>
      <c r="ET344" s="111"/>
      <c r="EU344" s="111"/>
      <c r="EV344" s="111"/>
      <c r="EW344" s="111"/>
      <c r="EX344" s="111"/>
      <c r="EY344" s="111"/>
      <c r="EZ344" s="111"/>
      <c r="FA344" s="111"/>
      <c r="FB344" s="111"/>
      <c r="FC344" s="111"/>
      <c r="FD344" s="111"/>
      <c r="FE344" s="111"/>
      <c r="FF344" s="111"/>
      <c r="FG344" s="111"/>
      <c r="FH344" s="111"/>
      <c r="FI344" s="111"/>
      <c r="FJ344" s="111"/>
      <c r="FK344" s="111"/>
      <c r="FL344" s="111"/>
      <c r="FM344" s="111"/>
      <c r="FN344" s="111"/>
      <c r="FO344" s="111"/>
    </row>
    <row r="345" spans="1:171" s="1199" customFormat="1" ht="30" customHeight="1">
      <c r="A345" s="1197"/>
      <c r="B345" s="804"/>
      <c r="C345" s="1198"/>
      <c r="D345" s="264"/>
      <c r="E345" s="422" t="s">
        <v>16</v>
      </c>
      <c r="F345" s="731"/>
      <c r="G345" s="656"/>
      <c r="H345" s="656"/>
      <c r="I345" s="656"/>
      <c r="J345" s="656"/>
      <c r="K345" s="656"/>
      <c r="L345" s="656"/>
      <c r="M345" s="656"/>
      <c r="N345" s="656"/>
      <c r="O345" s="873"/>
      <c r="P345" s="767"/>
      <c r="Q345" s="767"/>
      <c r="R345" s="767"/>
    </row>
    <row r="346" spans="1:171" s="1199" customFormat="1" ht="48" customHeight="1">
      <c r="A346" s="1197"/>
      <c r="B346" s="804"/>
      <c r="C346" s="1198"/>
      <c r="D346" s="264"/>
      <c r="E346" s="422" t="s">
        <v>198</v>
      </c>
      <c r="F346" s="731">
        <v>143757</v>
      </c>
      <c r="G346" s="656"/>
      <c r="H346" s="656"/>
      <c r="I346" s="656"/>
      <c r="J346" s="656"/>
      <c r="K346" s="656">
        <v>206723</v>
      </c>
      <c r="L346" s="656">
        <v>412389</v>
      </c>
      <c r="M346" s="656">
        <v>412389</v>
      </c>
      <c r="N346" s="656">
        <v>154091.74</v>
      </c>
      <c r="O346" s="873">
        <f t="shared" ref="O346:O350" si="98">N346/M346</f>
        <v>0.37365628084163249</v>
      </c>
      <c r="P346" s="767" t="s">
        <v>286</v>
      </c>
      <c r="Q346" s="767"/>
      <c r="R346" s="767"/>
    </row>
    <row r="347" spans="1:171" s="1199" customFormat="1" ht="48" customHeight="1">
      <c r="A347" s="1197"/>
      <c r="B347" s="804"/>
      <c r="C347" s="1198"/>
      <c r="D347" s="264"/>
      <c r="E347" s="422" t="s">
        <v>121</v>
      </c>
      <c r="F347" s="731">
        <v>28050</v>
      </c>
      <c r="G347" s="656"/>
      <c r="H347" s="656"/>
      <c r="I347" s="656"/>
      <c r="J347" s="656"/>
      <c r="K347" s="656">
        <v>0</v>
      </c>
      <c r="L347" s="656">
        <v>33384</v>
      </c>
      <c r="M347" s="656">
        <f>33384-2278</f>
        <v>31106</v>
      </c>
      <c r="N347" s="656">
        <v>26734.49</v>
      </c>
      <c r="O347" s="873">
        <f t="shared" si="98"/>
        <v>0.8594640905291584</v>
      </c>
      <c r="P347" s="767" t="s">
        <v>286</v>
      </c>
      <c r="Q347" s="767"/>
      <c r="R347" s="767"/>
    </row>
    <row r="348" spans="1:171" s="1199" customFormat="1" ht="48" customHeight="1">
      <c r="A348" s="1197"/>
      <c r="B348" s="804"/>
      <c r="C348" s="1198"/>
      <c r="D348" s="264"/>
      <c r="E348" s="422" t="s">
        <v>120</v>
      </c>
      <c r="F348" s="731">
        <v>29688</v>
      </c>
      <c r="G348" s="656"/>
      <c r="H348" s="656"/>
      <c r="I348" s="656"/>
      <c r="J348" s="656"/>
      <c r="K348" s="656">
        <v>35722</v>
      </c>
      <c r="L348" s="656">
        <v>76183</v>
      </c>
      <c r="M348" s="656">
        <v>76183</v>
      </c>
      <c r="N348" s="656">
        <v>30525.66</v>
      </c>
      <c r="O348" s="873">
        <f t="shared" si="98"/>
        <v>0.40068860506937243</v>
      </c>
      <c r="P348" s="767" t="s">
        <v>286</v>
      </c>
      <c r="Q348" s="767"/>
      <c r="R348" s="767"/>
    </row>
    <row r="349" spans="1:171" s="1199" customFormat="1" ht="48" customHeight="1">
      <c r="A349" s="1197"/>
      <c r="B349" s="804"/>
      <c r="C349" s="1198"/>
      <c r="D349" s="264"/>
      <c r="E349" s="422" t="s">
        <v>119</v>
      </c>
      <c r="F349" s="731">
        <v>4210</v>
      </c>
      <c r="G349" s="656"/>
      <c r="H349" s="656"/>
      <c r="I349" s="656"/>
      <c r="J349" s="656"/>
      <c r="K349" s="656">
        <v>5070</v>
      </c>
      <c r="L349" s="656">
        <v>10922</v>
      </c>
      <c r="M349" s="656">
        <v>10922</v>
      </c>
      <c r="N349" s="656">
        <v>3640.53</v>
      </c>
      <c r="O349" s="873">
        <f t="shared" si="98"/>
        <v>0.33332082036257099</v>
      </c>
      <c r="P349" s="767" t="s">
        <v>286</v>
      </c>
      <c r="Q349" s="767"/>
      <c r="R349" s="767"/>
    </row>
    <row r="350" spans="1:171" s="1199" customFormat="1" ht="48" customHeight="1">
      <c r="A350" s="1197"/>
      <c r="B350" s="804"/>
      <c r="C350" s="1198"/>
      <c r="D350" s="264"/>
      <c r="E350" s="422" t="s">
        <v>796</v>
      </c>
      <c r="F350" s="731">
        <v>9080</v>
      </c>
      <c r="G350" s="656"/>
      <c r="H350" s="656"/>
      <c r="I350" s="656"/>
      <c r="J350" s="656"/>
      <c r="K350" s="656">
        <v>0</v>
      </c>
      <c r="L350" s="656">
        <v>10383</v>
      </c>
      <c r="M350" s="656">
        <f>10383+2278</f>
        <v>12661</v>
      </c>
      <c r="N350" s="656">
        <v>9496</v>
      </c>
      <c r="O350" s="873">
        <f t="shared" si="98"/>
        <v>0.75001974567569707</v>
      </c>
      <c r="P350" s="767" t="s">
        <v>286</v>
      </c>
      <c r="Q350" s="767"/>
      <c r="R350" s="767"/>
    </row>
    <row r="351" spans="1:171" s="297" customFormat="1" ht="57" customHeight="1">
      <c r="A351" s="635"/>
      <c r="B351" s="296"/>
      <c r="C351" s="390">
        <v>2</v>
      </c>
      <c r="D351" s="136"/>
      <c r="E351" s="303" t="s">
        <v>79</v>
      </c>
      <c r="F351" s="302"/>
      <c r="G351" s="301"/>
      <c r="H351" s="301"/>
      <c r="I351" s="301"/>
      <c r="J351" s="301"/>
      <c r="K351" s="301">
        <v>50000</v>
      </c>
      <c r="L351" s="300">
        <f t="shared" ref="L351" si="99">SUM(F351:K351)</f>
        <v>50000</v>
      </c>
      <c r="M351" s="300">
        <v>50000</v>
      </c>
      <c r="N351" s="300">
        <v>12283.67</v>
      </c>
      <c r="O351" s="909">
        <f>N351/M351</f>
        <v>0.24567340000000001</v>
      </c>
      <c r="P351" s="768" t="s">
        <v>286</v>
      </c>
    </row>
    <row r="352" spans="1:171" s="415" customFormat="1" ht="32.25" customHeight="1">
      <c r="A352" s="650"/>
      <c r="B352" s="657"/>
      <c r="C352" s="23"/>
      <c r="D352" s="416"/>
      <c r="E352" s="299" t="s">
        <v>16</v>
      </c>
      <c r="F352" s="731"/>
      <c r="G352" s="656"/>
      <c r="H352" s="656"/>
      <c r="I352" s="656"/>
      <c r="J352" s="656"/>
      <c r="K352" s="666"/>
      <c r="L352" s="666"/>
      <c r="M352" s="666"/>
      <c r="N352" s="666"/>
      <c r="O352" s="874"/>
      <c r="P352" s="1200"/>
      <c r="Q352" s="762"/>
    </row>
    <row r="353" spans="1:17" s="111" customFormat="1" ht="62.1" customHeight="1">
      <c r="A353" s="734"/>
      <c r="B353" s="722"/>
      <c r="C353" s="23"/>
      <c r="D353" s="130" t="s">
        <v>3</v>
      </c>
      <c r="E353" s="1192" t="s">
        <v>797</v>
      </c>
      <c r="F353" s="654"/>
      <c r="G353" s="723"/>
      <c r="H353" s="723"/>
      <c r="I353" s="723"/>
      <c r="J353" s="723"/>
      <c r="K353" s="820"/>
      <c r="L353" s="711"/>
      <c r="M353" s="711"/>
      <c r="N353" s="711"/>
      <c r="O353" s="923"/>
      <c r="P353" s="1201"/>
      <c r="Q353" s="775"/>
    </row>
    <row r="354" spans="1:17" s="111" customFormat="1" ht="54" customHeight="1">
      <c r="A354" s="734"/>
      <c r="B354" s="722"/>
      <c r="C354" s="23"/>
      <c r="D354" s="130" t="s">
        <v>3</v>
      </c>
      <c r="E354" s="1192" t="s">
        <v>800</v>
      </c>
      <c r="F354" s="654"/>
      <c r="G354" s="723"/>
      <c r="H354" s="723"/>
      <c r="I354" s="723"/>
      <c r="J354" s="723"/>
      <c r="K354" s="820"/>
      <c r="L354" s="711"/>
      <c r="M354" s="711"/>
      <c r="N354" s="711"/>
      <c r="O354" s="923"/>
      <c r="P354" s="1201"/>
      <c r="Q354" s="775"/>
    </row>
    <row r="355" spans="1:17" s="111" customFormat="1" ht="53.25" customHeight="1">
      <c r="A355" s="734"/>
      <c r="B355" s="722"/>
      <c r="C355" s="23"/>
      <c r="D355" s="130" t="s">
        <v>3</v>
      </c>
      <c r="E355" s="1192" t="s">
        <v>798</v>
      </c>
      <c r="F355" s="654"/>
      <c r="G355" s="723"/>
      <c r="H355" s="723"/>
      <c r="I355" s="723"/>
      <c r="J355" s="723"/>
      <c r="K355" s="820"/>
      <c r="L355" s="711"/>
      <c r="M355" s="711"/>
      <c r="N355" s="711"/>
      <c r="O355" s="923"/>
      <c r="P355" s="1201"/>
      <c r="Q355" s="775"/>
    </row>
    <row r="356" spans="1:17" s="111" customFormat="1" ht="55.5" customHeight="1">
      <c r="A356" s="734"/>
      <c r="B356" s="722"/>
      <c r="C356" s="23"/>
      <c r="D356" s="130" t="s">
        <v>3</v>
      </c>
      <c r="E356" s="1192" t="s">
        <v>799</v>
      </c>
      <c r="F356" s="654"/>
      <c r="G356" s="723"/>
      <c r="H356" s="723"/>
      <c r="I356" s="723"/>
      <c r="J356" s="723"/>
      <c r="K356" s="820"/>
      <c r="L356" s="711"/>
      <c r="M356" s="711"/>
      <c r="N356" s="711"/>
      <c r="O356" s="923"/>
      <c r="P356" s="1201"/>
      <c r="Q356" s="775"/>
    </row>
    <row r="357" spans="1:17" s="111" customFormat="1" ht="55.5" customHeight="1">
      <c r="A357" s="734"/>
      <c r="B357" s="722"/>
      <c r="C357" s="23"/>
      <c r="D357" s="130" t="s">
        <v>3</v>
      </c>
      <c r="E357" s="1192" t="s">
        <v>801</v>
      </c>
      <c r="F357" s="654"/>
      <c r="G357" s="723"/>
      <c r="H357" s="723"/>
      <c r="I357" s="723"/>
      <c r="J357" s="723"/>
      <c r="K357" s="820"/>
      <c r="L357" s="711"/>
      <c r="M357" s="711"/>
      <c r="N357" s="711"/>
      <c r="O357" s="923"/>
      <c r="P357" s="1201"/>
      <c r="Q357" s="775"/>
    </row>
    <row r="358" spans="1:17" s="297" customFormat="1" ht="39.9" customHeight="1">
      <c r="A358" s="635"/>
      <c r="B358" s="296"/>
      <c r="C358" s="90">
        <v>3</v>
      </c>
      <c r="D358" s="140"/>
      <c r="E358" s="142" t="s">
        <v>78</v>
      </c>
      <c r="F358" s="138"/>
      <c r="G358" s="139"/>
      <c r="H358" s="139"/>
      <c r="I358" s="139"/>
      <c r="J358" s="139"/>
      <c r="K358" s="139">
        <v>1000</v>
      </c>
      <c r="L358" s="137">
        <f t="shared" ref="L358:L363" si="100">SUM(F358:K358)</f>
        <v>1000</v>
      </c>
      <c r="M358" s="137">
        <v>1000</v>
      </c>
      <c r="N358" s="137">
        <v>0</v>
      </c>
      <c r="O358" s="901">
        <v>0</v>
      </c>
      <c r="P358" s="768" t="s">
        <v>286</v>
      </c>
    </row>
    <row r="359" spans="1:17" s="297" customFormat="1" ht="39.9" customHeight="1">
      <c r="A359" s="635"/>
      <c r="B359" s="296"/>
      <c r="C359" s="90">
        <v>4</v>
      </c>
      <c r="D359" s="140"/>
      <c r="E359" s="142" t="s">
        <v>77</v>
      </c>
      <c r="F359" s="138"/>
      <c r="G359" s="139"/>
      <c r="H359" s="139"/>
      <c r="I359" s="139"/>
      <c r="J359" s="139"/>
      <c r="K359" s="139">
        <v>500</v>
      </c>
      <c r="L359" s="137">
        <f t="shared" si="100"/>
        <v>500</v>
      </c>
      <c r="M359" s="137">
        <v>500</v>
      </c>
      <c r="N359" s="137">
        <v>0</v>
      </c>
      <c r="O359" s="901">
        <v>0</v>
      </c>
      <c r="P359" s="768" t="s">
        <v>286</v>
      </c>
    </row>
    <row r="360" spans="1:17" s="297" customFormat="1" ht="39.9" customHeight="1">
      <c r="A360" s="635"/>
      <c r="B360" s="296"/>
      <c r="C360" s="90">
        <v>5</v>
      </c>
      <c r="D360" s="140"/>
      <c r="E360" s="142" t="s">
        <v>76</v>
      </c>
      <c r="F360" s="138"/>
      <c r="G360" s="139"/>
      <c r="H360" s="139"/>
      <c r="I360" s="139"/>
      <c r="J360" s="139"/>
      <c r="K360" s="139">
        <v>500</v>
      </c>
      <c r="L360" s="137">
        <f t="shared" si="100"/>
        <v>500</v>
      </c>
      <c r="M360" s="137">
        <v>500</v>
      </c>
      <c r="N360" s="137">
        <v>0</v>
      </c>
      <c r="O360" s="901">
        <v>0</v>
      </c>
      <c r="P360" s="768" t="s">
        <v>286</v>
      </c>
    </row>
    <row r="361" spans="1:17" s="297" customFormat="1" ht="39.9" customHeight="1">
      <c r="A361" s="635"/>
      <c r="B361" s="296"/>
      <c r="C361" s="90">
        <v>6</v>
      </c>
      <c r="D361" s="140"/>
      <c r="E361" s="142" t="s">
        <v>75</v>
      </c>
      <c r="F361" s="138"/>
      <c r="G361" s="139"/>
      <c r="H361" s="139"/>
      <c r="I361" s="139"/>
      <c r="J361" s="139"/>
      <c r="K361" s="139">
        <v>3000</v>
      </c>
      <c r="L361" s="137">
        <f t="shared" si="100"/>
        <v>3000</v>
      </c>
      <c r="M361" s="137">
        <v>3000</v>
      </c>
      <c r="N361" s="137">
        <v>0</v>
      </c>
      <c r="O361" s="901">
        <v>0</v>
      </c>
      <c r="P361" s="768" t="s">
        <v>286</v>
      </c>
    </row>
    <row r="362" spans="1:17" s="297" customFormat="1" ht="39.9" customHeight="1">
      <c r="A362" s="635"/>
      <c r="B362" s="296"/>
      <c r="C362" s="90">
        <v>7</v>
      </c>
      <c r="D362" s="140"/>
      <c r="E362" s="142" t="s">
        <v>74</v>
      </c>
      <c r="F362" s="138"/>
      <c r="G362" s="139"/>
      <c r="H362" s="139"/>
      <c r="I362" s="139"/>
      <c r="J362" s="139"/>
      <c r="K362" s="139">
        <v>1000</v>
      </c>
      <c r="L362" s="137">
        <f t="shared" si="100"/>
        <v>1000</v>
      </c>
      <c r="M362" s="137">
        <v>1000</v>
      </c>
      <c r="N362" s="137">
        <v>234</v>
      </c>
      <c r="O362" s="901">
        <f>N362/M362</f>
        <v>0.23400000000000001</v>
      </c>
      <c r="P362" s="768" t="s">
        <v>286</v>
      </c>
    </row>
    <row r="363" spans="1:17" s="295" customFormat="1" ht="66.75" customHeight="1">
      <c r="A363" s="635"/>
      <c r="B363" s="296"/>
      <c r="C363" s="15">
        <v>8</v>
      </c>
      <c r="D363" s="134"/>
      <c r="E363" s="135" t="s">
        <v>218</v>
      </c>
      <c r="F363" s="133"/>
      <c r="G363" s="144"/>
      <c r="H363" s="144"/>
      <c r="I363" s="144"/>
      <c r="J363" s="144"/>
      <c r="K363" s="144">
        <v>5000</v>
      </c>
      <c r="L363" s="132">
        <f t="shared" si="100"/>
        <v>5000</v>
      </c>
      <c r="M363" s="132">
        <v>5000</v>
      </c>
      <c r="N363" s="132">
        <v>1382.91</v>
      </c>
      <c r="O363" s="900">
        <f>N363/M363</f>
        <v>0.27658199999999999</v>
      </c>
      <c r="P363" s="765" t="s">
        <v>286</v>
      </c>
    </row>
    <row r="364" spans="1:17" s="51" customFormat="1" ht="62.25" customHeight="1">
      <c r="A364" s="433"/>
      <c r="B364" s="78">
        <v>75421</v>
      </c>
      <c r="C364" s="77"/>
      <c r="D364" s="181"/>
      <c r="E364" s="180" t="s">
        <v>73</v>
      </c>
      <c r="F364" s="95">
        <f t="shared" ref="F364:K364" si="101">F365</f>
        <v>0</v>
      </c>
      <c r="G364" s="95">
        <f t="shared" si="101"/>
        <v>0</v>
      </c>
      <c r="H364" s="95">
        <f t="shared" si="101"/>
        <v>0</v>
      </c>
      <c r="I364" s="95">
        <f t="shared" si="101"/>
        <v>0</v>
      </c>
      <c r="J364" s="95">
        <f t="shared" si="101"/>
        <v>0</v>
      </c>
      <c r="K364" s="95">
        <f t="shared" si="101"/>
        <v>287000</v>
      </c>
      <c r="L364" s="95">
        <f t="shared" ref="L364:L365" si="102">SUM(F364:K364)</f>
        <v>287000</v>
      </c>
      <c r="M364" s="95">
        <f>M365+M367+M369+M370</f>
        <v>287000</v>
      </c>
      <c r="N364" s="95">
        <f>N365+N367+N369+N370</f>
        <v>81865.94</v>
      </c>
      <c r="O364" s="868">
        <f>N364/M364</f>
        <v>0.28524717770034846</v>
      </c>
      <c r="P364" s="776" t="s">
        <v>286</v>
      </c>
    </row>
    <row r="365" spans="1:17" s="251" customFormat="1" ht="72.75" customHeight="1">
      <c r="A365" s="433"/>
      <c r="B365" s="288"/>
      <c r="C365" s="485">
        <v>1</v>
      </c>
      <c r="D365" s="449"/>
      <c r="E365" s="543" t="s">
        <v>72</v>
      </c>
      <c r="F365" s="451"/>
      <c r="G365" s="423"/>
      <c r="H365" s="423"/>
      <c r="I365" s="423"/>
      <c r="J365" s="544"/>
      <c r="K365" s="423">
        <f>300000-3000-10000</f>
        <v>287000</v>
      </c>
      <c r="L365" s="423">
        <f t="shared" si="102"/>
        <v>287000</v>
      </c>
      <c r="M365" s="423">
        <f>287000-42280-3871-26800-6000-5200</f>
        <v>202849</v>
      </c>
      <c r="N365" s="423">
        <v>0</v>
      </c>
      <c r="O365" s="883">
        <v>0</v>
      </c>
      <c r="P365" s="777" t="s">
        <v>286</v>
      </c>
    </row>
    <row r="366" spans="1:17" s="170" customFormat="1" ht="84.75" customHeight="1">
      <c r="A366" s="433"/>
      <c r="B366" s="288"/>
      <c r="C366" s="1098"/>
      <c r="D366" s="448"/>
      <c r="E366" s="1330" t="s">
        <v>342</v>
      </c>
      <c r="F366" s="1330"/>
      <c r="G366" s="1330"/>
      <c r="H366" s="1330"/>
      <c r="I366" s="1330"/>
      <c r="J366" s="1330"/>
      <c r="K366" s="1330"/>
      <c r="L366" s="1330"/>
      <c r="M366" s="1330"/>
      <c r="N366" s="1330"/>
      <c r="O366" s="1331"/>
      <c r="P366" s="776"/>
    </row>
    <row r="367" spans="1:17" s="446" customFormat="1" ht="69.599999999999994" customHeight="1">
      <c r="A367" s="433"/>
      <c r="B367" s="288"/>
      <c r="C367" s="571">
        <v>2</v>
      </c>
      <c r="D367" s="572"/>
      <c r="E367" s="1099" t="s">
        <v>911</v>
      </c>
      <c r="F367" s="564"/>
      <c r="G367" s="563"/>
      <c r="H367" s="563"/>
      <c r="I367" s="563"/>
      <c r="J367" s="1100"/>
      <c r="K367" s="563">
        <f>300000-3000-10000</f>
        <v>287000</v>
      </c>
      <c r="L367" s="563">
        <v>0</v>
      </c>
      <c r="M367" s="563">
        <f>42280+26800+6000+4200</f>
        <v>79280</v>
      </c>
      <c r="N367" s="563">
        <v>77995.67</v>
      </c>
      <c r="O367" s="872">
        <f>N367/M367</f>
        <v>0.98380007568113015</v>
      </c>
      <c r="P367" s="777" t="s">
        <v>286</v>
      </c>
    </row>
    <row r="368" spans="1:17" s="435" customFormat="1" ht="168.6" customHeight="1">
      <c r="A368" s="433"/>
      <c r="B368" s="288"/>
      <c r="C368" s="1098"/>
      <c r="D368" s="448"/>
      <c r="E368" s="1316" t="s">
        <v>912</v>
      </c>
      <c r="F368" s="1316"/>
      <c r="G368" s="1316"/>
      <c r="H368" s="1316"/>
      <c r="I368" s="1316"/>
      <c r="J368" s="1316"/>
      <c r="K368" s="1316"/>
      <c r="L368" s="1316"/>
      <c r="M368" s="1316"/>
      <c r="N368" s="1316"/>
      <c r="O368" s="1317"/>
      <c r="P368" s="776"/>
    </row>
    <row r="369" spans="1:16" s="446" customFormat="1" ht="84.6" customHeight="1">
      <c r="A369" s="433"/>
      <c r="B369" s="288"/>
      <c r="C369" s="571">
        <v>3</v>
      </c>
      <c r="D369" s="572"/>
      <c r="E369" s="1099" t="s">
        <v>696</v>
      </c>
      <c r="F369" s="564"/>
      <c r="G369" s="563"/>
      <c r="H369" s="563"/>
      <c r="I369" s="563"/>
      <c r="J369" s="1100"/>
      <c r="K369" s="563">
        <f>300000-3000-10000</f>
        <v>287000</v>
      </c>
      <c r="L369" s="563">
        <v>0</v>
      </c>
      <c r="M369" s="563">
        <v>3871</v>
      </c>
      <c r="N369" s="563">
        <v>3870.27</v>
      </c>
      <c r="O369" s="872">
        <v>0</v>
      </c>
      <c r="P369" s="777" t="s">
        <v>286</v>
      </c>
    </row>
    <row r="370" spans="1:16" s="446" customFormat="1" ht="64.2" customHeight="1">
      <c r="A370" s="705"/>
      <c r="B370" s="1097"/>
      <c r="C370" s="208">
        <v>4</v>
      </c>
      <c r="D370" s="207"/>
      <c r="E370" s="287" t="s">
        <v>695</v>
      </c>
      <c r="F370" s="205"/>
      <c r="G370" s="104"/>
      <c r="H370" s="104"/>
      <c r="I370" s="104"/>
      <c r="J370" s="286"/>
      <c r="K370" s="104"/>
      <c r="L370" s="104">
        <v>0</v>
      </c>
      <c r="M370" s="104">
        <v>1000</v>
      </c>
      <c r="N370" s="104">
        <v>0</v>
      </c>
      <c r="O370" s="913">
        <v>0</v>
      </c>
      <c r="P370" s="777" t="s">
        <v>286</v>
      </c>
    </row>
    <row r="371" spans="1:16" s="51" customFormat="1" ht="60" customHeight="1">
      <c r="A371" s="584"/>
      <c r="B371" s="78">
        <v>75495</v>
      </c>
      <c r="C371" s="77"/>
      <c r="D371" s="181"/>
      <c r="E371" s="180" t="s">
        <v>8</v>
      </c>
      <c r="F371" s="95">
        <f>F372+F373</f>
        <v>0</v>
      </c>
      <c r="G371" s="95">
        <f t="shared" ref="G371:K371" si="103">G372+G373</f>
        <v>0</v>
      </c>
      <c r="H371" s="95">
        <f t="shared" si="103"/>
        <v>0</v>
      </c>
      <c r="I371" s="95">
        <f t="shared" si="103"/>
        <v>0</v>
      </c>
      <c r="J371" s="95">
        <f t="shared" si="103"/>
        <v>0</v>
      </c>
      <c r="K371" s="95">
        <f t="shared" si="103"/>
        <v>30000</v>
      </c>
      <c r="L371" s="95">
        <f t="shared" ref="L371:O373" si="104">SUM(F371:K371)</f>
        <v>30000</v>
      </c>
      <c r="M371" s="95">
        <f>M372+M373</f>
        <v>30000</v>
      </c>
      <c r="N371" s="95">
        <f>N372+N373</f>
        <v>6335</v>
      </c>
      <c r="O371" s="868">
        <f>N371/M371</f>
        <v>0.21116666666666667</v>
      </c>
      <c r="P371" s="776" t="s">
        <v>286</v>
      </c>
    </row>
    <row r="372" spans="1:16" s="170" customFormat="1" ht="69.75" customHeight="1">
      <c r="A372" s="585"/>
      <c r="B372" s="406"/>
      <c r="C372" s="203">
        <v>1</v>
      </c>
      <c r="D372" s="407"/>
      <c r="E372" s="408" t="s">
        <v>329</v>
      </c>
      <c r="F372" s="209"/>
      <c r="G372" s="456"/>
      <c r="H372" s="456"/>
      <c r="I372" s="456"/>
      <c r="J372" s="520"/>
      <c r="K372" s="456">
        <v>30000</v>
      </c>
      <c r="L372" s="479">
        <f t="shared" si="104"/>
        <v>30000</v>
      </c>
      <c r="M372" s="479">
        <v>30000</v>
      </c>
      <c r="N372" s="479">
        <v>6335</v>
      </c>
      <c r="O372" s="910">
        <f>N372/M372</f>
        <v>0.21116666666666667</v>
      </c>
      <c r="P372" s="776" t="s">
        <v>286</v>
      </c>
    </row>
    <row r="373" spans="1:16" s="411" customFormat="1" ht="55.2" customHeight="1">
      <c r="A373" s="586"/>
      <c r="B373" s="409"/>
      <c r="C373" s="631">
        <v>2</v>
      </c>
      <c r="D373" s="632"/>
      <c r="E373" s="410" t="s">
        <v>167</v>
      </c>
      <c r="F373" s="521"/>
      <c r="G373" s="522"/>
      <c r="H373" s="522"/>
      <c r="I373" s="522"/>
      <c r="J373" s="522"/>
      <c r="K373" s="367">
        <v>0</v>
      </c>
      <c r="L373" s="593">
        <f t="shared" si="104"/>
        <v>0</v>
      </c>
      <c r="M373" s="593">
        <f t="shared" si="104"/>
        <v>0</v>
      </c>
      <c r="N373" s="593">
        <f t="shared" si="104"/>
        <v>0</v>
      </c>
      <c r="O373" s="911">
        <f t="shared" si="104"/>
        <v>0</v>
      </c>
      <c r="P373" s="760" t="s">
        <v>286</v>
      </c>
    </row>
    <row r="374" spans="1:16" s="202" customFormat="1" ht="63.75" customHeight="1">
      <c r="A374" s="587">
        <v>10</v>
      </c>
      <c r="B374" s="85">
        <v>757</v>
      </c>
      <c r="C374" s="84"/>
      <c r="D374" s="83"/>
      <c r="E374" s="82" t="s">
        <v>71</v>
      </c>
      <c r="F374" s="81">
        <v>0</v>
      </c>
      <c r="G374" s="80">
        <v>0</v>
      </c>
      <c r="H374" s="80">
        <v>0</v>
      </c>
      <c r="I374" s="80">
        <v>0</v>
      </c>
      <c r="J374" s="80">
        <v>0</v>
      </c>
      <c r="K374" s="80">
        <f>K375</f>
        <v>600000</v>
      </c>
      <c r="L374" s="80">
        <f t="shared" ref="L374:L378" si="105">SUM(F374:K374)</f>
        <v>600000</v>
      </c>
      <c r="M374" s="80">
        <f>M375</f>
        <v>600000</v>
      </c>
      <c r="N374" s="80">
        <f>N375</f>
        <v>215354.16</v>
      </c>
      <c r="O374" s="867">
        <f>N374/M374</f>
        <v>0.35892360000000001</v>
      </c>
      <c r="P374" s="761" t="s">
        <v>286</v>
      </c>
    </row>
    <row r="375" spans="1:16" s="202" customFormat="1" ht="63.75" customHeight="1">
      <c r="A375" s="558"/>
      <c r="B375" s="177">
        <v>75702</v>
      </c>
      <c r="C375" s="176"/>
      <c r="D375" s="175"/>
      <c r="E375" s="174" t="s">
        <v>70</v>
      </c>
      <c r="F375" s="414">
        <v>0</v>
      </c>
      <c r="G375" s="294">
        <v>0</v>
      </c>
      <c r="H375" s="294">
        <v>0</v>
      </c>
      <c r="I375" s="294">
        <v>0</v>
      </c>
      <c r="J375" s="294">
        <v>0</v>
      </c>
      <c r="K375" s="294">
        <f>K376</f>
        <v>600000</v>
      </c>
      <c r="L375" s="294">
        <f t="shared" si="105"/>
        <v>600000</v>
      </c>
      <c r="M375" s="294">
        <f>M376</f>
        <v>600000</v>
      </c>
      <c r="N375" s="294">
        <f>N376</f>
        <v>215354.16</v>
      </c>
      <c r="O375" s="870">
        <f>N375/M375</f>
        <v>0.35892360000000001</v>
      </c>
      <c r="P375" s="761" t="s">
        <v>286</v>
      </c>
    </row>
    <row r="376" spans="1:16" s="290" customFormat="1" ht="63.75" customHeight="1">
      <c r="A376" s="558"/>
      <c r="B376" s="218"/>
      <c r="C376" s="293">
        <v>1</v>
      </c>
      <c r="D376" s="292"/>
      <c r="E376" s="291" t="s">
        <v>69</v>
      </c>
      <c r="F376" s="523"/>
      <c r="G376" s="276"/>
      <c r="H376" s="276"/>
      <c r="I376" s="276"/>
      <c r="J376" s="276"/>
      <c r="K376" s="276">
        <v>600000</v>
      </c>
      <c r="L376" s="276">
        <f>SUM(F376:K376)</f>
        <v>600000</v>
      </c>
      <c r="M376" s="276">
        <v>600000</v>
      </c>
      <c r="N376" s="276">
        <v>215354.16</v>
      </c>
      <c r="O376" s="912">
        <f>N376/M376</f>
        <v>0.35892360000000001</v>
      </c>
      <c r="P376" s="761" t="s">
        <v>286</v>
      </c>
    </row>
    <row r="377" spans="1:16" s="170" customFormat="1" ht="63.75" customHeight="1">
      <c r="A377" s="201">
        <v>11</v>
      </c>
      <c r="B377" s="85" t="s">
        <v>68</v>
      </c>
      <c r="C377" s="84"/>
      <c r="D377" s="200"/>
      <c r="E377" s="199" t="s">
        <v>67</v>
      </c>
      <c r="F377" s="81">
        <f t="shared" ref="F377:K377" si="106">F378</f>
        <v>0</v>
      </c>
      <c r="G377" s="80">
        <f t="shared" si="106"/>
        <v>0</v>
      </c>
      <c r="H377" s="80">
        <f t="shared" si="106"/>
        <v>0</v>
      </c>
      <c r="I377" s="80">
        <f t="shared" si="106"/>
        <v>0</v>
      </c>
      <c r="J377" s="80">
        <f t="shared" si="106"/>
        <v>0</v>
      </c>
      <c r="K377" s="80">
        <f t="shared" si="106"/>
        <v>270250</v>
      </c>
      <c r="L377" s="80">
        <f t="shared" si="105"/>
        <v>270250</v>
      </c>
      <c r="M377" s="80">
        <f>M378</f>
        <v>254869</v>
      </c>
      <c r="N377" s="80">
        <f>N378</f>
        <v>0</v>
      </c>
      <c r="O377" s="867">
        <f>N377/M377</f>
        <v>0</v>
      </c>
      <c r="P377" s="776" t="s">
        <v>286</v>
      </c>
    </row>
    <row r="378" spans="1:16" s="51" customFormat="1" ht="63.75" customHeight="1">
      <c r="A378" s="433"/>
      <c r="B378" s="177" t="s">
        <v>66</v>
      </c>
      <c r="C378" s="176"/>
      <c r="D378" s="197"/>
      <c r="E378" s="196" t="s">
        <v>65</v>
      </c>
      <c r="F378" s="414">
        <f>F379+F380</f>
        <v>0</v>
      </c>
      <c r="G378" s="95">
        <f>G379+G380</f>
        <v>0</v>
      </c>
      <c r="H378" s="95">
        <f>H379+H380</f>
        <v>0</v>
      </c>
      <c r="I378" s="95">
        <f>I379+I380</f>
        <v>0</v>
      </c>
      <c r="J378" s="95">
        <f>J379+J380</f>
        <v>0</v>
      </c>
      <c r="K378" s="95">
        <f>SUM(K379:K380)</f>
        <v>270250</v>
      </c>
      <c r="L378" s="95">
        <f t="shared" si="105"/>
        <v>270250</v>
      </c>
      <c r="M378" s="95">
        <f>SUM(M379:M380)</f>
        <v>254869</v>
      </c>
      <c r="N378" s="95">
        <f>SUM(N379:N380)</f>
        <v>0</v>
      </c>
      <c r="O378" s="868">
        <v>0</v>
      </c>
      <c r="P378" s="776" t="s">
        <v>286</v>
      </c>
    </row>
    <row r="379" spans="1:16" s="289" customFormat="1" ht="55.5" customHeight="1">
      <c r="A379" s="433"/>
      <c r="B379" s="288"/>
      <c r="C379" s="214">
        <v>1</v>
      </c>
      <c r="D379" s="213"/>
      <c r="E379" s="212" t="s">
        <v>64</v>
      </c>
      <c r="F379" s="419"/>
      <c r="G379" s="418"/>
      <c r="H379" s="418"/>
      <c r="I379" s="418"/>
      <c r="J379" s="418"/>
      <c r="K379" s="725">
        <v>250000</v>
      </c>
      <c r="L379" s="423">
        <f t="shared" ref="L379:L383" si="107">SUM(F379:K379)</f>
        <v>250000</v>
      </c>
      <c r="M379" s="423">
        <f>250000-3751-6450-180</f>
        <v>239619</v>
      </c>
      <c r="N379" s="423">
        <v>0</v>
      </c>
      <c r="O379" s="883">
        <v>0</v>
      </c>
      <c r="P379" s="778" t="s">
        <v>286</v>
      </c>
    </row>
    <row r="380" spans="1:16" s="170" customFormat="1" ht="157.5" customHeight="1">
      <c r="A380" s="433"/>
      <c r="B380" s="288"/>
      <c r="C380" s="208">
        <v>2</v>
      </c>
      <c r="D380" s="207"/>
      <c r="E380" s="287" t="s">
        <v>253</v>
      </c>
      <c r="F380" s="205"/>
      <c r="G380" s="104"/>
      <c r="H380" s="104"/>
      <c r="I380" s="104"/>
      <c r="J380" s="286"/>
      <c r="K380" s="104">
        <f>60000-27750-12000</f>
        <v>20250</v>
      </c>
      <c r="L380" s="104">
        <f t="shared" si="107"/>
        <v>20250</v>
      </c>
      <c r="M380" s="104">
        <f>20250-2000-3000</f>
        <v>15250</v>
      </c>
      <c r="N380" s="104">
        <v>0</v>
      </c>
      <c r="O380" s="913">
        <v>0</v>
      </c>
      <c r="P380" s="776" t="s">
        <v>286</v>
      </c>
    </row>
    <row r="381" spans="1:16" s="79" customFormat="1" ht="60" customHeight="1">
      <c r="A381" s="86">
        <v>12</v>
      </c>
      <c r="B381" s="85">
        <v>801</v>
      </c>
      <c r="C381" s="84"/>
      <c r="D381" s="83"/>
      <c r="E381" s="82" t="s">
        <v>63</v>
      </c>
      <c r="F381" s="80">
        <f>F382+F480+F570+F751+F756+F765+F1301+F749+F1026+F1205</f>
        <v>0</v>
      </c>
      <c r="G381" s="80">
        <f>G382+G480+G570+G751+G756+G765+G1301+G749+G1026+G1205</f>
        <v>0</v>
      </c>
      <c r="H381" s="80">
        <f>H382+H480+H570+H751+H756+H765+H1301+H749+H1026+H1205</f>
        <v>34865</v>
      </c>
      <c r="I381" s="80">
        <f>I382+I480+I570+I751+I756+I765+I1301+I749+I1026+I1205</f>
        <v>0</v>
      </c>
      <c r="J381" s="80">
        <f>J382+J480+J570+J751+J756+J765+J1301+J749+J1026+J1205</f>
        <v>0</v>
      </c>
      <c r="K381" s="80">
        <f>K382+K480+K570+K749+K751+K756+K765+K1026+K1205+K1301</f>
        <v>39015550</v>
      </c>
      <c r="L381" s="80">
        <f t="shared" si="107"/>
        <v>39050415</v>
      </c>
      <c r="M381" s="80">
        <f>M382+M480+M570+M749+M751+M756+M765+M1026+M1205+M1294+M1301</f>
        <v>39469284.25</v>
      </c>
      <c r="N381" s="80">
        <f>N382+N480+N570+N749+N751+N756+N765+N1026+N1205+N1294+N1301</f>
        <v>19452427.5</v>
      </c>
      <c r="O381" s="867">
        <f>N381/M381</f>
        <v>0.4928497658277145</v>
      </c>
      <c r="P381" s="760" t="s">
        <v>286</v>
      </c>
    </row>
    <row r="382" spans="1:16" s="79" customFormat="1" ht="60" customHeight="1">
      <c r="A382" s="573"/>
      <c r="B382" s="177">
        <v>80101</v>
      </c>
      <c r="C382" s="176"/>
      <c r="D382" s="175"/>
      <c r="E382" s="174" t="s">
        <v>62</v>
      </c>
      <c r="F382" s="414">
        <f>F383+F471+F472</f>
        <v>0</v>
      </c>
      <c r="G382" s="414">
        <f>G383+G471+G472</f>
        <v>0</v>
      </c>
      <c r="H382" s="414">
        <f>H383+H471+H472</f>
        <v>0</v>
      </c>
      <c r="I382" s="414">
        <f>I383+I471+I472</f>
        <v>0</v>
      </c>
      <c r="J382" s="414">
        <f>J383+J471+J472</f>
        <v>0</v>
      </c>
      <c r="K382" s="414">
        <f>K383+K470+K471+K472</f>
        <v>19453200</v>
      </c>
      <c r="L382" s="95">
        <f t="shared" si="107"/>
        <v>19453200</v>
      </c>
      <c r="M382" s="95">
        <f>M383+M470+M471+M472+M475+M477+M478</f>
        <v>19695866</v>
      </c>
      <c r="N382" s="95">
        <f>N383+N470+N471+N472+N475+N477+N478</f>
        <v>10325430.059999999</v>
      </c>
      <c r="O382" s="868">
        <f>N382/M382</f>
        <v>0.52424351688826476</v>
      </c>
      <c r="P382" s="760" t="s">
        <v>286</v>
      </c>
    </row>
    <row r="383" spans="1:16" s="191" customFormat="1" ht="60" customHeight="1">
      <c r="A383" s="492"/>
      <c r="B383" s="178"/>
      <c r="C383" s="195" t="s">
        <v>24</v>
      </c>
      <c r="D383" s="194"/>
      <c r="E383" s="193" t="s">
        <v>146</v>
      </c>
      <c r="F383" s="436"/>
      <c r="G383" s="436"/>
      <c r="H383" s="436"/>
      <c r="I383" s="436"/>
      <c r="J383" s="436"/>
      <c r="K383" s="436">
        <f>K384+K427</f>
        <v>17441000</v>
      </c>
      <c r="L383" s="436">
        <f t="shared" si="107"/>
        <v>17441000</v>
      </c>
      <c r="M383" s="436">
        <f>M384+M427</f>
        <v>17477000</v>
      </c>
      <c r="N383" s="436">
        <f>N384+N427</f>
        <v>9272179.9799999986</v>
      </c>
      <c r="O383" s="908">
        <f>N383/M383</f>
        <v>0.53053613205927785</v>
      </c>
      <c r="P383" s="776" t="s">
        <v>286</v>
      </c>
    </row>
    <row r="384" spans="1:16" s="438" customFormat="1" ht="48.75" customHeight="1">
      <c r="A384" s="437"/>
      <c r="B384" s="424"/>
      <c r="C384" s="399">
        <v>1</v>
      </c>
      <c r="D384" s="429"/>
      <c r="E384" s="807" t="s">
        <v>191</v>
      </c>
      <c r="F384" s="425"/>
      <c r="G384" s="425"/>
      <c r="H384" s="425"/>
      <c r="I384" s="425"/>
      <c r="J384" s="425"/>
      <c r="K384" s="432">
        <v>9905000</v>
      </c>
      <c r="L384" s="432">
        <f>L385+L404+L426</f>
        <v>9905000</v>
      </c>
      <c r="M384" s="432">
        <f t="shared" ref="M384:N384" si="108">M385+M404+M426</f>
        <v>9941000</v>
      </c>
      <c r="N384" s="432">
        <f t="shared" si="108"/>
        <v>5095395.84</v>
      </c>
      <c r="O384" s="914">
        <f>N384/M384</f>
        <v>0.51256370988834121</v>
      </c>
      <c r="P384" s="761" t="s">
        <v>286</v>
      </c>
    </row>
    <row r="385" spans="1:18" s="435" customFormat="1" ht="39.9" customHeight="1">
      <c r="A385" s="705"/>
      <c r="B385" s="949"/>
      <c r="C385" s="463"/>
      <c r="D385" s="448"/>
      <c r="E385" s="950" t="s">
        <v>435</v>
      </c>
      <c r="F385" s="951"/>
      <c r="G385" s="952"/>
      <c r="H385" s="952"/>
      <c r="I385" s="952"/>
      <c r="J385" s="953"/>
      <c r="K385" s="954"/>
      <c r="L385" s="955">
        <v>8823400</v>
      </c>
      <c r="M385" s="955">
        <v>8804526</v>
      </c>
      <c r="N385" s="956">
        <f>SUM(N387:N403)</f>
        <v>4288018.71</v>
      </c>
      <c r="O385" s="932">
        <f>N385/M385</f>
        <v>0.4870243679216803</v>
      </c>
      <c r="P385" s="957" t="s">
        <v>286</v>
      </c>
      <c r="Q385" s="823"/>
      <c r="R385" s="958"/>
    </row>
    <row r="386" spans="1:18" s="444" customFormat="1" ht="34.5" customHeight="1">
      <c r="A386" s="672"/>
      <c r="B386" s="673"/>
      <c r="C386" s="454"/>
      <c r="D386" s="442"/>
      <c r="E386" s="959" t="s">
        <v>16</v>
      </c>
      <c r="F386" s="703"/>
      <c r="G386" s="704"/>
      <c r="H386" s="704"/>
      <c r="I386" s="704"/>
      <c r="J386" s="704"/>
      <c r="K386" s="389"/>
      <c r="L386" s="666"/>
      <c r="M386" s="666"/>
      <c r="N386" s="666"/>
      <c r="O386" s="874"/>
      <c r="P386" s="960"/>
      <c r="Q386" s="822"/>
      <c r="R386" s="961"/>
    </row>
    <row r="387" spans="1:18" s="444" customFormat="1" ht="43.5" customHeight="1">
      <c r="A387" s="672"/>
      <c r="B387" s="673"/>
      <c r="C387" s="454"/>
      <c r="D387" s="429"/>
      <c r="E387" s="962" t="s">
        <v>567</v>
      </c>
      <c r="F387" s="703"/>
      <c r="G387" s="704"/>
      <c r="H387" s="704"/>
      <c r="I387" s="704"/>
      <c r="J387" s="704"/>
      <c r="K387" s="389"/>
      <c r="L387" s="963"/>
      <c r="M387" s="963"/>
      <c r="N387" s="964">
        <v>2176695.2400000002</v>
      </c>
      <c r="O387" s="874"/>
      <c r="P387" s="960"/>
      <c r="Q387" s="822"/>
      <c r="R387" s="961"/>
    </row>
    <row r="388" spans="1:18" s="444" customFormat="1" ht="57" customHeight="1">
      <c r="A388" s="672"/>
      <c r="B388" s="673"/>
      <c r="C388" s="454"/>
      <c r="D388" s="442"/>
      <c r="E388" s="962" t="s">
        <v>568</v>
      </c>
      <c r="F388" s="703"/>
      <c r="G388" s="704"/>
      <c r="H388" s="704"/>
      <c r="I388" s="704"/>
      <c r="J388" s="704"/>
      <c r="K388" s="389"/>
      <c r="L388" s="963"/>
      <c r="M388" s="963"/>
      <c r="N388" s="964">
        <v>60723.6</v>
      </c>
      <c r="O388" s="874"/>
      <c r="P388" s="960"/>
      <c r="Q388" s="822"/>
      <c r="R388" s="961"/>
    </row>
    <row r="389" spans="1:18" s="444" customFormat="1" ht="57" customHeight="1">
      <c r="A389" s="672"/>
      <c r="B389" s="673"/>
      <c r="C389" s="454"/>
      <c r="D389" s="442"/>
      <c r="E389" s="962" t="s">
        <v>569</v>
      </c>
      <c r="F389" s="703"/>
      <c r="G389" s="704"/>
      <c r="H389" s="704"/>
      <c r="I389" s="704"/>
      <c r="J389" s="704"/>
      <c r="K389" s="389"/>
      <c r="L389" s="963"/>
      <c r="M389" s="963"/>
      <c r="N389" s="964">
        <v>69732.5</v>
      </c>
      <c r="O389" s="874"/>
      <c r="P389" s="960"/>
      <c r="Q389" s="822"/>
      <c r="R389" s="961"/>
    </row>
    <row r="390" spans="1:18" s="444" customFormat="1" ht="43.5" customHeight="1">
      <c r="A390" s="672"/>
      <c r="B390" s="673"/>
      <c r="C390" s="454"/>
      <c r="D390" s="442"/>
      <c r="E390" s="962" t="s">
        <v>570</v>
      </c>
      <c r="F390" s="703"/>
      <c r="G390" s="704"/>
      <c r="H390" s="704"/>
      <c r="I390" s="704"/>
      <c r="J390" s="704"/>
      <c r="K390" s="389"/>
      <c r="L390" s="963"/>
      <c r="M390" s="963"/>
      <c r="N390" s="964">
        <v>36853.58</v>
      </c>
      <c r="O390" s="874"/>
      <c r="P390" s="960"/>
      <c r="Q390" s="822"/>
      <c r="R390" s="961"/>
    </row>
    <row r="391" spans="1:18" s="444" customFormat="1" ht="43.5" customHeight="1">
      <c r="A391" s="672"/>
      <c r="B391" s="673"/>
      <c r="C391" s="454"/>
      <c r="D391" s="442"/>
      <c r="E391" s="962" t="s">
        <v>571</v>
      </c>
      <c r="F391" s="703"/>
      <c r="G391" s="704"/>
      <c r="H391" s="704"/>
      <c r="I391" s="704"/>
      <c r="J391" s="704"/>
      <c r="K391" s="389"/>
      <c r="L391" s="963"/>
      <c r="M391" s="963"/>
      <c r="N391" s="964">
        <v>57913.05</v>
      </c>
      <c r="O391" s="874"/>
      <c r="P391" s="960"/>
      <c r="Q391" s="822"/>
      <c r="R391" s="961"/>
    </row>
    <row r="392" spans="1:18" s="444" customFormat="1" ht="43.5" customHeight="1">
      <c r="A392" s="672"/>
      <c r="B392" s="673"/>
      <c r="C392" s="454"/>
      <c r="D392" s="442"/>
      <c r="E392" s="962" t="s">
        <v>437</v>
      </c>
      <c r="F392" s="703"/>
      <c r="G392" s="704"/>
      <c r="H392" s="704"/>
      <c r="I392" s="704"/>
      <c r="J392" s="704"/>
      <c r="K392" s="389"/>
      <c r="L392" s="963"/>
      <c r="M392" s="963"/>
      <c r="N392" s="964">
        <v>0</v>
      </c>
      <c r="O392" s="874"/>
      <c r="P392" s="960"/>
      <c r="Q392" s="822"/>
      <c r="R392" s="961"/>
    </row>
    <row r="393" spans="1:18" s="444" customFormat="1" ht="43.5" customHeight="1">
      <c r="A393" s="672"/>
      <c r="B393" s="673"/>
      <c r="C393" s="454"/>
      <c r="D393" s="442"/>
      <c r="E393" s="962" t="s">
        <v>565</v>
      </c>
      <c r="F393" s="703"/>
      <c r="G393" s="704"/>
      <c r="H393" s="704"/>
      <c r="I393" s="704"/>
      <c r="J393" s="704"/>
      <c r="K393" s="389"/>
      <c r="L393" s="963"/>
      <c r="M393" s="963"/>
      <c r="N393" s="964">
        <v>0</v>
      </c>
      <c r="O393" s="874"/>
      <c r="P393" s="960"/>
      <c r="Q393" s="822"/>
      <c r="R393" s="961"/>
    </row>
    <row r="394" spans="1:18" s="444" customFormat="1" ht="43.5" customHeight="1">
      <c r="A394" s="672"/>
      <c r="B394" s="673"/>
      <c r="C394" s="454"/>
      <c r="D394" s="442"/>
      <c r="E394" s="962" t="s">
        <v>514</v>
      </c>
      <c r="F394" s="703"/>
      <c r="G394" s="704"/>
      <c r="H394" s="704"/>
      <c r="I394" s="704"/>
      <c r="J394" s="704"/>
      <c r="K394" s="389"/>
      <c r="L394" s="963"/>
      <c r="M394" s="963"/>
      <c r="N394" s="964">
        <v>0</v>
      </c>
      <c r="O394" s="874"/>
      <c r="P394" s="960"/>
      <c r="Q394" s="822"/>
      <c r="R394" s="961"/>
    </row>
    <row r="395" spans="1:18" s="444" customFormat="1" ht="43.5" customHeight="1">
      <c r="A395" s="672"/>
      <c r="B395" s="673"/>
      <c r="C395" s="454"/>
      <c r="D395" s="442"/>
      <c r="E395" s="962" t="s">
        <v>566</v>
      </c>
      <c r="F395" s="703"/>
      <c r="G395" s="704"/>
      <c r="H395" s="704"/>
      <c r="I395" s="704"/>
      <c r="J395" s="704"/>
      <c r="K395" s="389"/>
      <c r="L395" s="963"/>
      <c r="M395" s="963"/>
      <c r="N395" s="964">
        <v>16206.09</v>
      </c>
      <c r="O395" s="874"/>
      <c r="P395" s="960"/>
      <c r="Q395" s="822"/>
      <c r="R395" s="961"/>
    </row>
    <row r="396" spans="1:18" s="444" customFormat="1" ht="43.5" customHeight="1">
      <c r="A396" s="672"/>
      <c r="B396" s="673"/>
      <c r="C396" s="454"/>
      <c r="D396" s="442"/>
      <c r="E396" s="962" t="s">
        <v>440</v>
      </c>
      <c r="F396" s="703"/>
      <c r="G396" s="704"/>
      <c r="H396" s="704"/>
      <c r="I396" s="704"/>
      <c r="J396" s="704"/>
      <c r="K396" s="389"/>
      <c r="L396" s="963"/>
      <c r="M396" s="963"/>
      <c r="N396" s="964">
        <v>0</v>
      </c>
      <c r="O396" s="874"/>
      <c r="P396" s="960"/>
      <c r="Q396" s="822"/>
      <c r="R396" s="961"/>
    </row>
    <row r="397" spans="1:18" s="444" customFormat="1" ht="68.25" customHeight="1">
      <c r="A397" s="672"/>
      <c r="B397" s="673"/>
      <c r="C397" s="454"/>
      <c r="D397" s="442"/>
      <c r="E397" s="962" t="s">
        <v>572</v>
      </c>
      <c r="F397" s="703"/>
      <c r="G397" s="704"/>
      <c r="H397" s="704"/>
      <c r="I397" s="704"/>
      <c r="J397" s="704"/>
      <c r="K397" s="389"/>
      <c r="L397" s="963"/>
      <c r="M397" s="963"/>
      <c r="N397" s="964">
        <v>32093.19</v>
      </c>
      <c r="O397" s="874"/>
      <c r="P397" s="960"/>
      <c r="Q397" s="822"/>
      <c r="R397" s="961"/>
    </row>
    <row r="398" spans="1:18" s="444" customFormat="1" ht="55.5" customHeight="1">
      <c r="A398" s="672"/>
      <c r="B398" s="673"/>
      <c r="C398" s="454"/>
      <c r="D398" s="442"/>
      <c r="E398" s="962" t="s">
        <v>573</v>
      </c>
      <c r="F398" s="703"/>
      <c r="G398" s="704"/>
      <c r="H398" s="704"/>
      <c r="I398" s="704"/>
      <c r="J398" s="704"/>
      <c r="K398" s="389"/>
      <c r="L398" s="963"/>
      <c r="M398" s="963"/>
      <c r="N398" s="964">
        <v>665716.09</v>
      </c>
      <c r="O398" s="874"/>
      <c r="P398" s="960"/>
      <c r="Q398" s="822"/>
      <c r="R398" s="961"/>
    </row>
    <row r="399" spans="1:18" s="444" customFormat="1" ht="43.5" customHeight="1">
      <c r="A399" s="672"/>
      <c r="B399" s="673"/>
      <c r="C399" s="454"/>
      <c r="D399" s="442"/>
      <c r="E399" s="962" t="s">
        <v>574</v>
      </c>
      <c r="F399" s="703"/>
      <c r="G399" s="704"/>
      <c r="H399" s="704"/>
      <c r="I399" s="704"/>
      <c r="J399" s="704"/>
      <c r="K399" s="389"/>
      <c r="L399" s="963"/>
      <c r="M399" s="963"/>
      <c r="N399" s="964">
        <v>1200</v>
      </c>
      <c r="O399" s="874"/>
      <c r="P399" s="960"/>
      <c r="Q399" s="822"/>
      <c r="R399" s="961"/>
    </row>
    <row r="400" spans="1:18" s="444" customFormat="1" ht="43.5" customHeight="1">
      <c r="A400" s="672"/>
      <c r="B400" s="673"/>
      <c r="C400" s="454"/>
      <c r="D400" s="442"/>
      <c r="E400" s="962" t="s">
        <v>443</v>
      </c>
      <c r="F400" s="703"/>
      <c r="G400" s="704"/>
      <c r="H400" s="704"/>
      <c r="I400" s="704"/>
      <c r="J400" s="704"/>
      <c r="K400" s="389"/>
      <c r="L400" s="963"/>
      <c r="M400" s="963"/>
      <c r="N400" s="964">
        <v>481577.11</v>
      </c>
      <c r="O400" s="874"/>
      <c r="P400" s="960"/>
      <c r="Q400" s="822"/>
      <c r="R400" s="961"/>
    </row>
    <row r="401" spans="1:18" s="444" customFormat="1" ht="43.5" customHeight="1">
      <c r="A401" s="672"/>
      <c r="B401" s="673"/>
      <c r="C401" s="454"/>
      <c r="D401" s="442"/>
      <c r="E401" s="962" t="s">
        <v>497</v>
      </c>
      <c r="F401" s="703"/>
      <c r="G401" s="704"/>
      <c r="H401" s="704"/>
      <c r="I401" s="704"/>
      <c r="J401" s="704"/>
      <c r="K401" s="389"/>
      <c r="L401" s="963"/>
      <c r="M401" s="963"/>
      <c r="N401" s="964">
        <v>4096</v>
      </c>
      <c r="O401" s="874"/>
      <c r="P401" s="960"/>
      <c r="Q401" s="822"/>
      <c r="R401" s="961"/>
    </row>
    <row r="402" spans="1:18" s="444" customFormat="1" ht="58.5" customHeight="1">
      <c r="A402" s="672"/>
      <c r="B402" s="673"/>
      <c r="C402" s="454"/>
      <c r="D402" s="442"/>
      <c r="E402" s="962" t="s">
        <v>575</v>
      </c>
      <c r="F402" s="703"/>
      <c r="G402" s="704"/>
      <c r="H402" s="704"/>
      <c r="I402" s="704"/>
      <c r="J402" s="704"/>
      <c r="K402" s="389"/>
      <c r="L402" s="963"/>
      <c r="M402" s="963"/>
      <c r="N402" s="964">
        <v>29465.84</v>
      </c>
      <c r="O402" s="874"/>
      <c r="P402" s="960"/>
      <c r="Q402" s="822"/>
      <c r="R402" s="961"/>
    </row>
    <row r="403" spans="1:18" s="444" customFormat="1" ht="43.5" customHeight="1">
      <c r="A403" s="672"/>
      <c r="B403" s="673"/>
      <c r="C403" s="454"/>
      <c r="D403" s="442"/>
      <c r="E403" s="962" t="s">
        <v>445</v>
      </c>
      <c r="F403" s="703"/>
      <c r="G403" s="704"/>
      <c r="H403" s="704"/>
      <c r="I403" s="704"/>
      <c r="J403" s="704"/>
      <c r="K403" s="389"/>
      <c r="L403" s="963"/>
      <c r="M403" s="963"/>
      <c r="N403" s="964">
        <v>655746.42000000004</v>
      </c>
      <c r="O403" s="874"/>
      <c r="P403" s="960"/>
      <c r="Q403" s="822"/>
      <c r="R403" s="961"/>
    </row>
    <row r="404" spans="1:18" s="444" customFormat="1" ht="57" customHeight="1">
      <c r="A404" s="672"/>
      <c r="B404" s="673"/>
      <c r="C404" s="965"/>
      <c r="D404" s="442"/>
      <c r="E404" s="950" t="s">
        <v>446</v>
      </c>
      <c r="F404" s="955">
        <v>117300</v>
      </c>
      <c r="G404" s="955">
        <v>111778</v>
      </c>
      <c r="H404" s="955">
        <v>74715.13</v>
      </c>
      <c r="I404" s="704"/>
      <c r="J404" s="704"/>
      <c r="K404" s="532"/>
      <c r="L404" s="955">
        <v>1081600</v>
      </c>
      <c r="M404" s="955">
        <v>1136474</v>
      </c>
      <c r="N404" s="956">
        <f>SUM(N405:N425)</f>
        <v>807377.13</v>
      </c>
      <c r="O404" s="932">
        <f>N404/M404</f>
        <v>0.71042287813007599</v>
      </c>
      <c r="P404" s="960" t="s">
        <v>286</v>
      </c>
      <c r="Q404" s="822"/>
      <c r="R404" s="961"/>
    </row>
    <row r="405" spans="1:18" s="444" customFormat="1" ht="82.2" customHeight="1">
      <c r="A405" s="672"/>
      <c r="B405" s="673"/>
      <c r="C405" s="454"/>
      <c r="D405" s="442"/>
      <c r="E405" s="966" t="s">
        <v>447</v>
      </c>
      <c r="F405" s="967"/>
      <c r="G405" s="967"/>
      <c r="H405" s="967">
        <v>0</v>
      </c>
      <c r="I405" s="704"/>
      <c r="J405" s="704"/>
      <c r="K405" s="532"/>
      <c r="L405" s="967"/>
      <c r="M405" s="967"/>
      <c r="N405" s="968">
        <v>779.48</v>
      </c>
      <c r="O405" s="874"/>
      <c r="P405" s="960"/>
      <c r="Q405" s="822"/>
      <c r="R405" s="961"/>
    </row>
    <row r="406" spans="1:18" s="444" customFormat="1" ht="42.75" customHeight="1">
      <c r="A406" s="672"/>
      <c r="B406" s="673"/>
      <c r="C406" s="454"/>
      <c r="D406" s="442"/>
      <c r="E406" s="966" t="s">
        <v>576</v>
      </c>
      <c r="F406" s="967"/>
      <c r="G406" s="967"/>
      <c r="H406" s="967">
        <v>0</v>
      </c>
      <c r="I406" s="704"/>
      <c r="J406" s="704"/>
      <c r="K406" s="532"/>
      <c r="L406" s="967"/>
      <c r="M406" s="967"/>
      <c r="N406" s="968">
        <v>300</v>
      </c>
      <c r="O406" s="874"/>
      <c r="P406" s="960"/>
      <c r="Q406" s="822"/>
      <c r="R406" s="961"/>
    </row>
    <row r="407" spans="1:18" s="444" customFormat="1" ht="42.75" customHeight="1">
      <c r="A407" s="672"/>
      <c r="B407" s="673"/>
      <c r="C407" s="454"/>
      <c r="D407" s="442"/>
      <c r="E407" s="966" t="s">
        <v>449</v>
      </c>
      <c r="F407" s="967"/>
      <c r="G407" s="967"/>
      <c r="H407" s="967">
        <v>0</v>
      </c>
      <c r="I407" s="704"/>
      <c r="J407" s="704"/>
      <c r="K407" s="532"/>
      <c r="L407" s="967"/>
      <c r="M407" s="967"/>
      <c r="N407" s="968">
        <v>0</v>
      </c>
      <c r="O407" s="874"/>
      <c r="P407" s="960"/>
      <c r="Q407" s="822"/>
      <c r="R407" s="961"/>
    </row>
    <row r="408" spans="1:18" s="444" customFormat="1" ht="42.75" customHeight="1">
      <c r="A408" s="672"/>
      <c r="B408" s="673"/>
      <c r="C408" s="454"/>
      <c r="D408" s="442"/>
      <c r="E408" s="966" t="s">
        <v>450</v>
      </c>
      <c r="F408" s="967"/>
      <c r="G408" s="967"/>
      <c r="H408" s="967">
        <v>0</v>
      </c>
      <c r="I408" s="704"/>
      <c r="J408" s="704"/>
      <c r="K408" s="532"/>
      <c r="L408" s="967"/>
      <c r="M408" s="967"/>
      <c r="N408" s="968">
        <v>0</v>
      </c>
      <c r="O408" s="874"/>
      <c r="P408" s="960"/>
      <c r="Q408" s="822"/>
      <c r="R408" s="961"/>
    </row>
    <row r="409" spans="1:18" s="444" customFormat="1" ht="42.75" customHeight="1">
      <c r="A409" s="672"/>
      <c r="B409" s="673"/>
      <c r="C409" s="454"/>
      <c r="D409" s="442"/>
      <c r="E409" s="966" t="s">
        <v>451</v>
      </c>
      <c r="F409" s="967"/>
      <c r="G409" s="967"/>
      <c r="H409" s="967">
        <v>0</v>
      </c>
      <c r="I409" s="704"/>
      <c r="J409" s="704"/>
      <c r="K409" s="532"/>
      <c r="L409" s="967"/>
      <c r="M409" s="967"/>
      <c r="N409" s="968">
        <v>0</v>
      </c>
      <c r="O409" s="874"/>
      <c r="P409" s="960"/>
      <c r="Q409" s="822"/>
      <c r="R409" s="961"/>
    </row>
    <row r="410" spans="1:18" s="444" customFormat="1" ht="102.75" customHeight="1">
      <c r="A410" s="672"/>
      <c r="B410" s="673"/>
      <c r="C410" s="454"/>
      <c r="D410" s="442"/>
      <c r="E410" s="969" t="s">
        <v>577</v>
      </c>
      <c r="F410" s="967"/>
      <c r="G410" s="967"/>
      <c r="H410" s="967">
        <v>4300</v>
      </c>
      <c r="I410" s="704"/>
      <c r="J410" s="704"/>
      <c r="K410" s="532"/>
      <c r="L410" s="967"/>
      <c r="M410" s="967"/>
      <c r="N410" s="968">
        <v>13324.24</v>
      </c>
      <c r="O410" s="874"/>
      <c r="P410" s="960"/>
      <c r="Q410" s="822"/>
      <c r="R410" s="961"/>
    </row>
    <row r="411" spans="1:18" s="444" customFormat="1" ht="90" customHeight="1">
      <c r="A411" s="672"/>
      <c r="B411" s="673"/>
      <c r="C411" s="454"/>
      <c r="D411" s="442"/>
      <c r="E411" s="966" t="s">
        <v>453</v>
      </c>
      <c r="F411" s="967"/>
      <c r="G411" s="967"/>
      <c r="H411" s="967">
        <v>0</v>
      </c>
      <c r="I411" s="704"/>
      <c r="J411" s="704"/>
      <c r="K411" s="532"/>
      <c r="L411" s="967"/>
      <c r="M411" s="967"/>
      <c r="N411" s="968">
        <v>8005.1</v>
      </c>
      <c r="O411" s="874"/>
      <c r="P411" s="960"/>
      <c r="Q411" s="822"/>
      <c r="R411" s="961"/>
    </row>
    <row r="412" spans="1:18" s="444" customFormat="1" ht="54" customHeight="1">
      <c r="A412" s="672"/>
      <c r="B412" s="673"/>
      <c r="C412" s="454"/>
      <c r="D412" s="442"/>
      <c r="E412" s="966" t="s">
        <v>454</v>
      </c>
      <c r="F412" s="967"/>
      <c r="G412" s="967"/>
      <c r="H412" s="967">
        <v>0</v>
      </c>
      <c r="I412" s="704"/>
      <c r="J412" s="704"/>
      <c r="K412" s="532"/>
      <c r="L412" s="967"/>
      <c r="M412" s="967"/>
      <c r="N412" s="968">
        <v>0</v>
      </c>
      <c r="O412" s="874"/>
      <c r="P412" s="960"/>
      <c r="Q412" s="822"/>
      <c r="R412" s="961"/>
    </row>
    <row r="413" spans="1:18" s="444" customFormat="1" ht="54" customHeight="1">
      <c r="A413" s="672"/>
      <c r="B413" s="673"/>
      <c r="C413" s="454"/>
      <c r="D413" s="442"/>
      <c r="E413" s="966" t="s">
        <v>455</v>
      </c>
      <c r="F413" s="967"/>
      <c r="G413" s="967"/>
      <c r="H413" s="967">
        <v>0</v>
      </c>
      <c r="I413" s="704"/>
      <c r="J413" s="704"/>
      <c r="K413" s="532"/>
      <c r="L413" s="967"/>
      <c r="M413" s="967"/>
      <c r="N413" s="968">
        <v>13587.64</v>
      </c>
      <c r="O413" s="874"/>
      <c r="P413" s="960"/>
      <c r="Q413" s="822"/>
      <c r="R413" s="961"/>
    </row>
    <row r="414" spans="1:18" s="444" customFormat="1" ht="54" customHeight="1">
      <c r="A414" s="672"/>
      <c r="B414" s="673"/>
      <c r="C414" s="454"/>
      <c r="D414" s="442"/>
      <c r="E414" s="966" t="s">
        <v>456</v>
      </c>
      <c r="F414" s="967"/>
      <c r="G414" s="967"/>
      <c r="H414" s="967">
        <v>0</v>
      </c>
      <c r="I414" s="704"/>
      <c r="J414" s="704"/>
      <c r="K414" s="532"/>
      <c r="L414" s="967"/>
      <c r="M414" s="967"/>
      <c r="N414" s="968">
        <v>0</v>
      </c>
      <c r="O414" s="874"/>
      <c r="P414" s="960"/>
      <c r="Q414" s="822"/>
      <c r="R414" s="961"/>
    </row>
    <row r="415" spans="1:18" s="444" customFormat="1" ht="54" customHeight="1">
      <c r="A415" s="672"/>
      <c r="B415" s="673"/>
      <c r="C415" s="454"/>
      <c r="D415" s="442"/>
      <c r="E415" s="966" t="s">
        <v>457</v>
      </c>
      <c r="F415" s="967"/>
      <c r="G415" s="967"/>
      <c r="H415" s="967">
        <v>0</v>
      </c>
      <c r="I415" s="704"/>
      <c r="J415" s="704"/>
      <c r="K415" s="532"/>
      <c r="L415" s="967"/>
      <c r="M415" s="967"/>
      <c r="N415" s="968">
        <v>4451.18</v>
      </c>
      <c r="O415" s="874"/>
      <c r="P415" s="960"/>
      <c r="Q415" s="822"/>
      <c r="R415" s="961"/>
    </row>
    <row r="416" spans="1:18" s="444" customFormat="1" ht="54" customHeight="1">
      <c r="A416" s="672"/>
      <c r="B416" s="673"/>
      <c r="C416" s="454"/>
      <c r="D416" s="442"/>
      <c r="E416" s="966" t="s">
        <v>458</v>
      </c>
      <c r="F416" s="967"/>
      <c r="G416" s="967"/>
      <c r="H416" s="967">
        <v>0</v>
      </c>
      <c r="I416" s="704"/>
      <c r="J416" s="704"/>
      <c r="K416" s="532"/>
      <c r="L416" s="967"/>
      <c r="M416" s="967"/>
      <c r="N416" s="968">
        <v>0</v>
      </c>
      <c r="O416" s="874"/>
      <c r="P416" s="960"/>
      <c r="Q416" s="822"/>
      <c r="R416" s="961"/>
    </row>
    <row r="417" spans="1:18" s="444" customFormat="1" ht="54" customHeight="1">
      <c r="A417" s="672"/>
      <c r="B417" s="673"/>
      <c r="C417" s="454"/>
      <c r="D417" s="442"/>
      <c r="E417" s="966" t="s">
        <v>459</v>
      </c>
      <c r="F417" s="970"/>
      <c r="G417" s="970"/>
      <c r="H417" s="967">
        <v>32231.32</v>
      </c>
      <c r="I417" s="704"/>
      <c r="J417" s="704"/>
      <c r="K417" s="532"/>
      <c r="L417" s="970"/>
      <c r="M417" s="970"/>
      <c r="N417" s="968">
        <v>440817.32</v>
      </c>
      <c r="O417" s="874"/>
      <c r="P417" s="960"/>
      <c r="Q417" s="822"/>
      <c r="R417" s="961"/>
    </row>
    <row r="418" spans="1:18" s="444" customFormat="1" ht="54" customHeight="1">
      <c r="A418" s="672"/>
      <c r="B418" s="673"/>
      <c r="C418" s="454"/>
      <c r="D418" s="442"/>
      <c r="E418" s="966" t="s">
        <v>460</v>
      </c>
      <c r="F418" s="970"/>
      <c r="G418" s="970"/>
      <c r="H418" s="967">
        <v>0</v>
      </c>
      <c r="I418" s="704"/>
      <c r="J418" s="704"/>
      <c r="K418" s="532"/>
      <c r="L418" s="970"/>
      <c r="M418" s="970"/>
      <c r="N418" s="968">
        <v>19182.95</v>
      </c>
      <c r="O418" s="874"/>
      <c r="P418" s="960"/>
      <c r="Q418" s="822"/>
      <c r="R418" s="961"/>
    </row>
    <row r="419" spans="1:18" s="444" customFormat="1" ht="54" customHeight="1">
      <c r="A419" s="672"/>
      <c r="B419" s="673"/>
      <c r="C419" s="454"/>
      <c r="D419" s="442"/>
      <c r="E419" s="966" t="s">
        <v>461</v>
      </c>
      <c r="F419" s="970"/>
      <c r="G419" s="970"/>
      <c r="H419" s="967">
        <v>692</v>
      </c>
      <c r="I419" s="704"/>
      <c r="J419" s="704"/>
      <c r="K419" s="532"/>
      <c r="L419" s="970"/>
      <c r="M419" s="970"/>
      <c r="N419" s="968">
        <v>11042</v>
      </c>
      <c r="O419" s="874"/>
      <c r="P419" s="960"/>
      <c r="Q419" s="822"/>
      <c r="R419" s="961"/>
    </row>
    <row r="420" spans="1:18" s="444" customFormat="1" ht="54" customHeight="1">
      <c r="A420" s="672"/>
      <c r="B420" s="673"/>
      <c r="C420" s="454"/>
      <c r="D420" s="442"/>
      <c r="E420" s="966" t="s">
        <v>462</v>
      </c>
      <c r="F420" s="970"/>
      <c r="G420" s="970"/>
      <c r="H420" s="967">
        <v>35817</v>
      </c>
      <c r="I420" s="704"/>
      <c r="J420" s="704"/>
      <c r="K420" s="532"/>
      <c r="L420" s="970"/>
      <c r="M420" s="970"/>
      <c r="N420" s="968">
        <v>256731.4</v>
      </c>
      <c r="O420" s="874"/>
      <c r="P420" s="960"/>
      <c r="Q420" s="822"/>
      <c r="R420" s="961"/>
    </row>
    <row r="421" spans="1:18" s="444" customFormat="1" ht="54" customHeight="1">
      <c r="A421" s="672"/>
      <c r="B421" s="673"/>
      <c r="C421" s="454"/>
      <c r="D421" s="442"/>
      <c r="E421" s="966" t="s">
        <v>463</v>
      </c>
      <c r="F421" s="970"/>
      <c r="G421" s="970"/>
      <c r="H421" s="967">
        <v>0</v>
      </c>
      <c r="I421" s="704"/>
      <c r="J421" s="704"/>
      <c r="K421" s="532"/>
      <c r="L421" s="970"/>
      <c r="M421" s="970"/>
      <c r="N421" s="968">
        <v>0</v>
      </c>
      <c r="O421" s="874"/>
      <c r="P421" s="960"/>
      <c r="Q421" s="822"/>
      <c r="R421" s="961"/>
    </row>
    <row r="422" spans="1:18" s="444" customFormat="1" ht="54" customHeight="1">
      <c r="A422" s="672"/>
      <c r="B422" s="673"/>
      <c r="C422" s="454"/>
      <c r="D422" s="442"/>
      <c r="E422" s="966" t="s">
        <v>464</v>
      </c>
      <c r="F422" s="970"/>
      <c r="G422" s="970"/>
      <c r="H422" s="967">
        <v>0</v>
      </c>
      <c r="I422" s="704"/>
      <c r="J422" s="704"/>
      <c r="K422" s="532"/>
      <c r="L422" s="970"/>
      <c r="M422" s="970"/>
      <c r="N422" s="968">
        <v>9007.99</v>
      </c>
      <c r="O422" s="874"/>
      <c r="P422" s="960"/>
      <c r="Q422" s="822"/>
      <c r="R422" s="961"/>
    </row>
    <row r="423" spans="1:18" s="444" customFormat="1" ht="54" customHeight="1">
      <c r="A423" s="672"/>
      <c r="B423" s="673"/>
      <c r="C423" s="454"/>
      <c r="D423" s="442"/>
      <c r="E423" s="966" t="s">
        <v>465</v>
      </c>
      <c r="F423" s="970"/>
      <c r="G423" s="970"/>
      <c r="H423" s="967">
        <v>0</v>
      </c>
      <c r="I423" s="704"/>
      <c r="J423" s="704"/>
      <c r="K423" s="532"/>
      <c r="L423" s="970"/>
      <c r="M423" s="970"/>
      <c r="N423" s="968">
        <v>0</v>
      </c>
      <c r="O423" s="874"/>
      <c r="P423" s="960"/>
      <c r="Q423" s="822"/>
      <c r="R423" s="961"/>
    </row>
    <row r="424" spans="1:18" s="444" customFormat="1" ht="54" customHeight="1">
      <c r="A424" s="672"/>
      <c r="B424" s="673"/>
      <c r="C424" s="454"/>
      <c r="D424" s="442"/>
      <c r="E424" s="966" t="s">
        <v>466</v>
      </c>
      <c r="F424" s="970"/>
      <c r="G424" s="970"/>
      <c r="H424" s="967">
        <v>0</v>
      </c>
      <c r="I424" s="704"/>
      <c r="J424" s="704"/>
      <c r="K424" s="532"/>
      <c r="L424" s="970"/>
      <c r="M424" s="970"/>
      <c r="N424" s="968">
        <v>569</v>
      </c>
      <c r="O424" s="874"/>
      <c r="P424" s="960"/>
      <c r="Q424" s="822"/>
      <c r="R424" s="961"/>
    </row>
    <row r="425" spans="1:18" s="444" customFormat="1" ht="168" customHeight="1">
      <c r="A425" s="672"/>
      <c r="B425" s="673"/>
      <c r="C425" s="454"/>
      <c r="D425" s="442"/>
      <c r="E425" s="966" t="s">
        <v>578</v>
      </c>
      <c r="F425" s="970"/>
      <c r="G425" s="970"/>
      <c r="H425" s="967">
        <v>1674.81</v>
      </c>
      <c r="I425" s="704"/>
      <c r="J425" s="704"/>
      <c r="K425" s="532"/>
      <c r="L425" s="970"/>
      <c r="M425" s="970"/>
      <c r="N425" s="968">
        <v>29578.83</v>
      </c>
      <c r="O425" s="874"/>
      <c r="P425" s="960"/>
      <c r="Q425" s="822"/>
      <c r="R425" s="961"/>
    </row>
    <row r="426" spans="1:18" s="444" customFormat="1" ht="57" customHeight="1">
      <c r="A426" s="672"/>
      <c r="B426" s="673"/>
      <c r="C426" s="965"/>
      <c r="D426" s="442"/>
      <c r="E426" s="950" t="s">
        <v>467</v>
      </c>
      <c r="F426" s="955">
        <v>117300</v>
      </c>
      <c r="G426" s="955">
        <v>111778</v>
      </c>
      <c r="H426" s="955">
        <v>74715.13</v>
      </c>
      <c r="I426" s="704"/>
      <c r="J426" s="704"/>
      <c r="K426" s="532"/>
      <c r="L426" s="955">
        <v>0</v>
      </c>
      <c r="M426" s="955">
        <v>0</v>
      </c>
      <c r="N426" s="955">
        <v>0</v>
      </c>
      <c r="O426" s="932">
        <v>0</v>
      </c>
      <c r="P426" s="960" t="s">
        <v>286</v>
      </c>
      <c r="Q426" s="822"/>
      <c r="R426" s="961"/>
    </row>
    <row r="427" spans="1:18" s="439" customFormat="1" ht="55.5" customHeight="1">
      <c r="A427" s="437"/>
      <c r="B427" s="424"/>
      <c r="C427" s="458">
        <v>2</v>
      </c>
      <c r="D427" s="459"/>
      <c r="E427" s="808" t="s">
        <v>232</v>
      </c>
      <c r="F427" s="255"/>
      <c r="G427" s="460"/>
      <c r="H427" s="460"/>
      <c r="I427" s="460"/>
      <c r="J427" s="460"/>
      <c r="K427" s="457">
        <f>6735000+5000+356000+166683+256717+14000+2600</f>
        <v>7536000</v>
      </c>
      <c r="L427" s="457">
        <f>L428+L447+L469</f>
        <v>7536000</v>
      </c>
      <c r="M427" s="457">
        <f t="shared" ref="M427:N427" si="109">M428+M447+M469</f>
        <v>7536000</v>
      </c>
      <c r="N427" s="457">
        <f t="shared" si="109"/>
        <v>4176784.1399999992</v>
      </c>
      <c r="O427" s="877">
        <f>N427/M427</f>
        <v>0.55424417993630559</v>
      </c>
      <c r="P427" s="779" t="s">
        <v>286</v>
      </c>
    </row>
    <row r="428" spans="1:18" s="435" customFormat="1" ht="39.9" customHeight="1">
      <c r="A428" s="705"/>
      <c r="B428" s="949"/>
      <c r="C428" s="463"/>
      <c r="D428" s="448"/>
      <c r="E428" s="1023" t="s">
        <v>435</v>
      </c>
      <c r="F428" s="951"/>
      <c r="G428" s="952"/>
      <c r="H428" s="952"/>
      <c r="I428" s="952"/>
      <c r="J428" s="953"/>
      <c r="K428" s="954"/>
      <c r="L428" s="955">
        <v>6740000</v>
      </c>
      <c r="M428" s="955">
        <v>6726141</v>
      </c>
      <c r="N428" s="956">
        <f>SUM(N430:N446)</f>
        <v>3625023.8699999992</v>
      </c>
      <c r="O428" s="932">
        <f>N428/M428</f>
        <v>0.53894556626154566</v>
      </c>
      <c r="P428" s="957" t="s">
        <v>286</v>
      </c>
      <c r="Q428" s="823"/>
      <c r="R428" s="958"/>
    </row>
    <row r="429" spans="1:18" s="444" customFormat="1" ht="34.5" customHeight="1">
      <c r="A429" s="672"/>
      <c r="B429" s="673"/>
      <c r="C429" s="454"/>
      <c r="D429" s="442"/>
      <c r="E429" s="959" t="s">
        <v>16</v>
      </c>
      <c r="F429" s="703"/>
      <c r="G429" s="704"/>
      <c r="H429" s="704"/>
      <c r="I429" s="704"/>
      <c r="J429" s="704"/>
      <c r="K429" s="389"/>
      <c r="L429" s="666"/>
      <c r="M429" s="666"/>
      <c r="N429" s="666"/>
      <c r="O429" s="874"/>
      <c r="P429" s="960"/>
      <c r="Q429" s="822"/>
      <c r="R429" s="961"/>
    </row>
    <row r="430" spans="1:18" s="444" customFormat="1" ht="41.25" customHeight="1">
      <c r="A430" s="672"/>
      <c r="B430" s="673"/>
      <c r="C430" s="454"/>
      <c r="D430" s="429"/>
      <c r="E430" s="962" t="s">
        <v>611</v>
      </c>
      <c r="F430" s="703"/>
      <c r="G430" s="704"/>
      <c r="H430" s="704"/>
      <c r="I430" s="704"/>
      <c r="J430" s="704"/>
      <c r="K430" s="389"/>
      <c r="L430" s="963"/>
      <c r="M430" s="963"/>
      <c r="N430" s="964">
        <v>1928244.04</v>
      </c>
      <c r="O430" s="874"/>
      <c r="P430" s="960"/>
      <c r="Q430" s="822"/>
      <c r="R430" s="961"/>
    </row>
    <row r="431" spans="1:18" s="444" customFormat="1" ht="57" customHeight="1">
      <c r="A431" s="672"/>
      <c r="B431" s="673"/>
      <c r="C431" s="454"/>
      <c r="D431" s="442"/>
      <c r="E431" s="962" t="s">
        <v>605</v>
      </c>
      <c r="F431" s="703"/>
      <c r="G431" s="704"/>
      <c r="H431" s="704"/>
      <c r="I431" s="704"/>
      <c r="J431" s="704"/>
      <c r="K431" s="389"/>
      <c r="L431" s="963"/>
      <c r="M431" s="963"/>
      <c r="N431" s="964">
        <v>54964.800000000003</v>
      </c>
      <c r="O431" s="874"/>
      <c r="P431" s="960"/>
      <c r="Q431" s="822"/>
      <c r="R431" s="961"/>
    </row>
    <row r="432" spans="1:18" s="444" customFormat="1" ht="57" customHeight="1">
      <c r="A432" s="672"/>
      <c r="B432" s="673"/>
      <c r="C432" s="454"/>
      <c r="D432" s="442"/>
      <c r="E432" s="962" t="s">
        <v>612</v>
      </c>
      <c r="F432" s="703"/>
      <c r="G432" s="704"/>
      <c r="H432" s="704"/>
      <c r="I432" s="704"/>
      <c r="J432" s="704"/>
      <c r="K432" s="389"/>
      <c r="L432" s="963"/>
      <c r="M432" s="963"/>
      <c r="N432" s="964">
        <v>116549.33</v>
      </c>
      <c r="O432" s="874"/>
      <c r="P432" s="960"/>
      <c r="Q432" s="822"/>
      <c r="R432" s="961"/>
    </row>
    <row r="433" spans="1:18" s="444" customFormat="1" ht="57" customHeight="1">
      <c r="A433" s="672"/>
      <c r="B433" s="673"/>
      <c r="C433" s="454"/>
      <c r="D433" s="442"/>
      <c r="E433" s="962" t="s">
        <v>613</v>
      </c>
      <c r="F433" s="703"/>
      <c r="G433" s="704"/>
      <c r="H433" s="704"/>
      <c r="I433" s="704"/>
      <c r="J433" s="704"/>
      <c r="K433" s="389"/>
      <c r="L433" s="963"/>
      <c r="M433" s="963"/>
      <c r="N433" s="964">
        <v>32235.759999999998</v>
      </c>
      <c r="O433" s="874"/>
      <c r="P433" s="960"/>
      <c r="Q433" s="822"/>
      <c r="R433" s="961"/>
    </row>
    <row r="434" spans="1:18" s="444" customFormat="1" ht="46.5" customHeight="1">
      <c r="A434" s="672"/>
      <c r="B434" s="673"/>
      <c r="C434" s="454"/>
      <c r="D434" s="442"/>
      <c r="E434" s="962" t="s">
        <v>614</v>
      </c>
      <c r="F434" s="703"/>
      <c r="G434" s="704"/>
      <c r="H434" s="704"/>
      <c r="I434" s="704"/>
      <c r="J434" s="704"/>
      <c r="K434" s="389"/>
      <c r="L434" s="963"/>
      <c r="M434" s="963"/>
      <c r="N434" s="964">
        <v>17367.78</v>
      </c>
      <c r="O434" s="874"/>
      <c r="P434" s="960"/>
      <c r="Q434" s="822"/>
      <c r="R434" s="961"/>
    </row>
    <row r="435" spans="1:18" s="444" customFormat="1" ht="46.5" customHeight="1">
      <c r="A435" s="672"/>
      <c r="B435" s="673"/>
      <c r="C435" s="454"/>
      <c r="D435" s="442"/>
      <c r="E435" s="962" t="s">
        <v>437</v>
      </c>
      <c r="F435" s="703"/>
      <c r="G435" s="704"/>
      <c r="H435" s="704"/>
      <c r="I435" s="704"/>
      <c r="J435" s="704"/>
      <c r="K435" s="389"/>
      <c r="L435" s="963"/>
      <c r="M435" s="963"/>
      <c r="N435" s="964">
        <v>0</v>
      </c>
      <c r="O435" s="874"/>
      <c r="P435" s="960"/>
      <c r="Q435" s="822"/>
      <c r="R435" s="961"/>
    </row>
    <row r="436" spans="1:18" s="444" customFormat="1" ht="46.5" customHeight="1">
      <c r="A436" s="672"/>
      <c r="B436" s="673"/>
      <c r="C436" s="454"/>
      <c r="D436" s="442"/>
      <c r="E436" s="962" t="s">
        <v>438</v>
      </c>
      <c r="F436" s="703"/>
      <c r="G436" s="704"/>
      <c r="H436" s="704"/>
      <c r="I436" s="704"/>
      <c r="J436" s="704"/>
      <c r="K436" s="389"/>
      <c r="L436" s="963"/>
      <c r="M436" s="963"/>
      <c r="N436" s="964">
        <v>0</v>
      </c>
      <c r="O436" s="874"/>
      <c r="P436" s="960"/>
      <c r="Q436" s="822"/>
      <c r="R436" s="961"/>
    </row>
    <row r="437" spans="1:18" s="444" customFormat="1" ht="46.5" customHeight="1">
      <c r="A437" s="672"/>
      <c r="B437" s="673"/>
      <c r="C437" s="454"/>
      <c r="D437" s="442"/>
      <c r="E437" s="962" t="s">
        <v>503</v>
      </c>
      <c r="F437" s="703"/>
      <c r="G437" s="704"/>
      <c r="H437" s="704"/>
      <c r="I437" s="704"/>
      <c r="J437" s="704"/>
      <c r="K437" s="389"/>
      <c r="L437" s="963"/>
      <c r="M437" s="963"/>
      <c r="N437" s="964">
        <v>0</v>
      </c>
      <c r="O437" s="874"/>
      <c r="P437" s="960"/>
      <c r="Q437" s="822"/>
      <c r="R437" s="961"/>
    </row>
    <row r="438" spans="1:18" s="444" customFormat="1" ht="46.5" customHeight="1">
      <c r="A438" s="672"/>
      <c r="B438" s="673"/>
      <c r="C438" s="454"/>
      <c r="D438" s="442"/>
      <c r="E438" s="962" t="s">
        <v>439</v>
      </c>
      <c r="F438" s="703"/>
      <c r="G438" s="704"/>
      <c r="H438" s="704"/>
      <c r="I438" s="704"/>
      <c r="J438" s="704"/>
      <c r="K438" s="389"/>
      <c r="L438" s="963"/>
      <c r="M438" s="963"/>
      <c r="N438" s="964">
        <v>0</v>
      </c>
      <c r="O438" s="874"/>
      <c r="P438" s="960"/>
      <c r="Q438" s="822"/>
      <c r="R438" s="961"/>
    </row>
    <row r="439" spans="1:18" s="444" customFormat="1" ht="46.5" customHeight="1">
      <c r="A439" s="672"/>
      <c r="B439" s="673"/>
      <c r="C439" s="454"/>
      <c r="D439" s="442"/>
      <c r="E439" s="962" t="s">
        <v>440</v>
      </c>
      <c r="F439" s="703"/>
      <c r="G439" s="704"/>
      <c r="H439" s="704"/>
      <c r="I439" s="704"/>
      <c r="J439" s="704"/>
      <c r="K439" s="389"/>
      <c r="L439" s="963"/>
      <c r="M439" s="963"/>
      <c r="N439" s="964">
        <v>0</v>
      </c>
      <c r="O439" s="874"/>
      <c r="P439" s="960"/>
      <c r="Q439" s="822"/>
      <c r="R439" s="961"/>
    </row>
    <row r="440" spans="1:18" s="444" customFormat="1" ht="46.5" customHeight="1">
      <c r="A440" s="672"/>
      <c r="B440" s="673"/>
      <c r="C440" s="454"/>
      <c r="D440" s="442"/>
      <c r="E440" s="962" t="s">
        <v>615</v>
      </c>
      <c r="F440" s="703"/>
      <c r="G440" s="704"/>
      <c r="H440" s="704"/>
      <c r="I440" s="704"/>
      <c r="J440" s="704"/>
      <c r="K440" s="389"/>
      <c r="L440" s="963"/>
      <c r="M440" s="963"/>
      <c r="N440" s="964">
        <v>20240.82</v>
      </c>
      <c r="O440" s="874"/>
      <c r="P440" s="960"/>
      <c r="Q440" s="822"/>
      <c r="R440" s="961"/>
    </row>
    <row r="441" spans="1:18" s="444" customFormat="1" ht="57" customHeight="1">
      <c r="A441" s="672"/>
      <c r="B441" s="673"/>
      <c r="C441" s="454"/>
      <c r="D441" s="442"/>
      <c r="E441" s="962" t="s">
        <v>616</v>
      </c>
      <c r="F441" s="703"/>
      <c r="G441" s="704"/>
      <c r="H441" s="704"/>
      <c r="I441" s="704"/>
      <c r="J441" s="704"/>
      <c r="K441" s="389"/>
      <c r="L441" s="963"/>
      <c r="M441" s="963"/>
      <c r="N441" s="964">
        <v>436288.55</v>
      </c>
      <c r="O441" s="874"/>
      <c r="P441" s="960"/>
      <c r="Q441" s="822"/>
      <c r="R441" s="961"/>
    </row>
    <row r="442" spans="1:18" s="444" customFormat="1" ht="41.25" customHeight="1">
      <c r="A442" s="672"/>
      <c r="B442" s="673"/>
      <c r="C442" s="454"/>
      <c r="D442" s="442"/>
      <c r="E442" s="962" t="s">
        <v>617</v>
      </c>
      <c r="F442" s="703"/>
      <c r="G442" s="704"/>
      <c r="H442" s="704"/>
      <c r="I442" s="704"/>
      <c r="J442" s="704"/>
      <c r="K442" s="389"/>
      <c r="L442" s="963"/>
      <c r="M442" s="963"/>
      <c r="N442" s="964">
        <v>4800</v>
      </c>
      <c r="O442" s="874"/>
      <c r="P442" s="960"/>
      <c r="Q442" s="822"/>
      <c r="R442" s="961"/>
    </row>
    <row r="443" spans="1:18" s="444" customFormat="1" ht="41.25" customHeight="1">
      <c r="A443" s="672"/>
      <c r="B443" s="673"/>
      <c r="C443" s="454"/>
      <c r="D443" s="442"/>
      <c r="E443" s="962" t="s">
        <v>443</v>
      </c>
      <c r="F443" s="703"/>
      <c r="G443" s="704"/>
      <c r="H443" s="704"/>
      <c r="I443" s="704"/>
      <c r="J443" s="704"/>
      <c r="K443" s="389"/>
      <c r="L443" s="963"/>
      <c r="M443" s="963"/>
      <c r="N443" s="964">
        <v>415549.19</v>
      </c>
      <c r="O443" s="874"/>
      <c r="P443" s="960"/>
      <c r="Q443" s="822"/>
      <c r="R443" s="961"/>
    </row>
    <row r="444" spans="1:18" s="444" customFormat="1" ht="41.25" customHeight="1">
      <c r="A444" s="672"/>
      <c r="B444" s="673"/>
      <c r="C444" s="454"/>
      <c r="D444" s="442"/>
      <c r="E444" s="962" t="s">
        <v>490</v>
      </c>
      <c r="F444" s="703"/>
      <c r="G444" s="704"/>
      <c r="H444" s="704"/>
      <c r="I444" s="704"/>
      <c r="J444" s="704"/>
      <c r="K444" s="389"/>
      <c r="L444" s="963"/>
      <c r="M444" s="963"/>
      <c r="N444" s="964">
        <v>1405.4</v>
      </c>
      <c r="O444" s="874"/>
      <c r="P444" s="960"/>
      <c r="Q444" s="822"/>
      <c r="R444" s="961"/>
    </row>
    <row r="445" spans="1:18" s="444" customFormat="1" ht="59.4" customHeight="1">
      <c r="A445" s="672"/>
      <c r="B445" s="673"/>
      <c r="C445" s="454"/>
      <c r="D445" s="442"/>
      <c r="E445" s="962" t="s">
        <v>618</v>
      </c>
      <c r="F445" s="703"/>
      <c r="G445" s="704"/>
      <c r="H445" s="704"/>
      <c r="I445" s="704"/>
      <c r="J445" s="704"/>
      <c r="K445" s="389"/>
      <c r="L445" s="963"/>
      <c r="M445" s="963"/>
      <c r="N445" s="964">
        <v>62360.75</v>
      </c>
      <c r="O445" s="874"/>
      <c r="P445" s="960"/>
      <c r="Q445" s="822"/>
      <c r="R445" s="961"/>
    </row>
    <row r="446" spans="1:18" s="444" customFormat="1" ht="41.25" customHeight="1">
      <c r="A446" s="672"/>
      <c r="B446" s="673"/>
      <c r="C446" s="454"/>
      <c r="D446" s="442"/>
      <c r="E446" s="962" t="s">
        <v>445</v>
      </c>
      <c r="F446" s="703"/>
      <c r="G446" s="704"/>
      <c r="H446" s="704"/>
      <c r="I446" s="704"/>
      <c r="J446" s="704"/>
      <c r="K446" s="389"/>
      <c r="L446" s="963"/>
      <c r="M446" s="963"/>
      <c r="N446" s="964">
        <v>535017.44999999995</v>
      </c>
      <c r="O446" s="874"/>
      <c r="P446" s="960"/>
      <c r="Q446" s="822"/>
      <c r="R446" s="961"/>
    </row>
    <row r="447" spans="1:18" s="444" customFormat="1" ht="57" customHeight="1">
      <c r="A447" s="672"/>
      <c r="B447" s="673"/>
      <c r="C447" s="965"/>
      <c r="D447" s="442"/>
      <c r="E447" s="950" t="s">
        <v>446</v>
      </c>
      <c r="F447" s="955">
        <v>117300</v>
      </c>
      <c r="G447" s="955">
        <v>111778</v>
      </c>
      <c r="H447" s="955">
        <v>74715.13</v>
      </c>
      <c r="I447" s="704"/>
      <c r="J447" s="704"/>
      <c r="K447" s="532"/>
      <c r="L447" s="955">
        <v>796000</v>
      </c>
      <c r="M447" s="955">
        <v>809859</v>
      </c>
      <c r="N447" s="956">
        <f>SUM(N448:N468)</f>
        <v>551760.27</v>
      </c>
      <c r="O447" s="932">
        <f>N447/M447</f>
        <v>0.68130411590165696</v>
      </c>
      <c r="P447" s="960" t="s">
        <v>286</v>
      </c>
      <c r="Q447" s="822"/>
      <c r="R447" s="961"/>
    </row>
    <row r="448" spans="1:18" s="444" customFormat="1" ht="80.400000000000006" customHeight="1">
      <c r="A448" s="672"/>
      <c r="B448" s="673"/>
      <c r="C448" s="454"/>
      <c r="D448" s="442"/>
      <c r="E448" s="966" t="s">
        <v>447</v>
      </c>
      <c r="F448" s="967"/>
      <c r="G448" s="967"/>
      <c r="H448" s="967">
        <v>0</v>
      </c>
      <c r="I448" s="704"/>
      <c r="J448" s="704"/>
      <c r="K448" s="532"/>
      <c r="L448" s="967"/>
      <c r="M448" s="967"/>
      <c r="N448" s="968">
        <v>3676.55</v>
      </c>
      <c r="O448" s="874"/>
      <c r="P448" s="960"/>
      <c r="Q448" s="822"/>
      <c r="R448" s="961"/>
    </row>
    <row r="449" spans="1:18" s="444" customFormat="1" ht="39" customHeight="1">
      <c r="A449" s="672"/>
      <c r="B449" s="673"/>
      <c r="C449" s="454"/>
      <c r="D449" s="442"/>
      <c r="E449" s="966" t="s">
        <v>606</v>
      </c>
      <c r="F449" s="967"/>
      <c r="G449" s="967"/>
      <c r="H449" s="967">
        <v>0</v>
      </c>
      <c r="I449" s="704"/>
      <c r="J449" s="704"/>
      <c r="K449" s="532"/>
      <c r="L449" s="967"/>
      <c r="M449" s="967"/>
      <c r="N449" s="968">
        <v>0</v>
      </c>
      <c r="O449" s="874"/>
      <c r="P449" s="960"/>
      <c r="Q449" s="822"/>
      <c r="R449" s="961"/>
    </row>
    <row r="450" spans="1:18" s="444" customFormat="1" ht="39" customHeight="1">
      <c r="A450" s="672"/>
      <c r="B450" s="673"/>
      <c r="C450" s="454"/>
      <c r="D450" s="442"/>
      <c r="E450" s="966" t="s">
        <v>449</v>
      </c>
      <c r="F450" s="967"/>
      <c r="G450" s="967"/>
      <c r="H450" s="967">
        <v>0</v>
      </c>
      <c r="I450" s="704"/>
      <c r="J450" s="704"/>
      <c r="K450" s="532"/>
      <c r="L450" s="967"/>
      <c r="M450" s="967"/>
      <c r="N450" s="968">
        <v>0</v>
      </c>
      <c r="O450" s="874"/>
      <c r="P450" s="960"/>
      <c r="Q450" s="822"/>
      <c r="R450" s="961"/>
    </row>
    <row r="451" spans="1:18" s="444" customFormat="1" ht="39" customHeight="1">
      <c r="A451" s="672"/>
      <c r="B451" s="673"/>
      <c r="C451" s="454"/>
      <c r="D451" s="442"/>
      <c r="E451" s="966" t="s">
        <v>450</v>
      </c>
      <c r="F451" s="967"/>
      <c r="G451" s="967"/>
      <c r="H451" s="967">
        <v>0</v>
      </c>
      <c r="I451" s="704"/>
      <c r="J451" s="704"/>
      <c r="K451" s="532"/>
      <c r="L451" s="967"/>
      <c r="M451" s="967"/>
      <c r="N451" s="968">
        <v>0</v>
      </c>
      <c r="O451" s="874"/>
      <c r="P451" s="960"/>
      <c r="Q451" s="822"/>
      <c r="R451" s="961"/>
    </row>
    <row r="452" spans="1:18" s="444" customFormat="1" ht="39" customHeight="1">
      <c r="A452" s="672"/>
      <c r="B452" s="673"/>
      <c r="C452" s="454"/>
      <c r="D452" s="442"/>
      <c r="E452" s="966" t="s">
        <v>451</v>
      </c>
      <c r="F452" s="967"/>
      <c r="G452" s="967"/>
      <c r="H452" s="967">
        <v>0</v>
      </c>
      <c r="I452" s="704"/>
      <c r="J452" s="704"/>
      <c r="K452" s="532"/>
      <c r="L452" s="967"/>
      <c r="M452" s="967"/>
      <c r="N452" s="968">
        <v>0</v>
      </c>
      <c r="O452" s="874"/>
      <c r="P452" s="960"/>
      <c r="Q452" s="822"/>
      <c r="R452" s="961"/>
    </row>
    <row r="453" spans="1:18" s="444" customFormat="1" ht="52.5" customHeight="1">
      <c r="A453" s="672"/>
      <c r="B453" s="673"/>
      <c r="C453" s="454"/>
      <c r="D453" s="442"/>
      <c r="E453" s="969" t="s">
        <v>607</v>
      </c>
      <c r="F453" s="967"/>
      <c r="G453" s="967"/>
      <c r="H453" s="967">
        <v>4300</v>
      </c>
      <c r="I453" s="704"/>
      <c r="J453" s="704"/>
      <c r="K453" s="532"/>
      <c r="L453" s="967"/>
      <c r="M453" s="967"/>
      <c r="N453" s="968">
        <v>3985.67</v>
      </c>
      <c r="O453" s="874"/>
      <c r="P453" s="960"/>
      <c r="Q453" s="822"/>
      <c r="R453" s="961"/>
    </row>
    <row r="454" spans="1:18" s="444" customFormat="1" ht="84" customHeight="1">
      <c r="A454" s="672"/>
      <c r="B454" s="673"/>
      <c r="C454" s="454"/>
      <c r="D454" s="442"/>
      <c r="E454" s="966" t="s">
        <v>608</v>
      </c>
      <c r="F454" s="967"/>
      <c r="G454" s="967"/>
      <c r="H454" s="967">
        <v>0</v>
      </c>
      <c r="I454" s="704"/>
      <c r="J454" s="704"/>
      <c r="K454" s="532"/>
      <c r="L454" s="967"/>
      <c r="M454" s="967"/>
      <c r="N454" s="968">
        <v>1200</v>
      </c>
      <c r="O454" s="874"/>
      <c r="P454" s="960"/>
      <c r="Q454" s="822"/>
      <c r="R454" s="961"/>
    </row>
    <row r="455" spans="1:18" s="444" customFormat="1" ht="54.75" customHeight="1">
      <c r="A455" s="672"/>
      <c r="B455" s="673"/>
      <c r="C455" s="454"/>
      <c r="D455" s="442"/>
      <c r="E455" s="966" t="s">
        <v>454</v>
      </c>
      <c r="F455" s="967"/>
      <c r="G455" s="967"/>
      <c r="H455" s="967">
        <v>0</v>
      </c>
      <c r="I455" s="704"/>
      <c r="J455" s="704"/>
      <c r="K455" s="532"/>
      <c r="L455" s="967"/>
      <c r="M455" s="967"/>
      <c r="N455" s="968">
        <v>0</v>
      </c>
      <c r="O455" s="874"/>
      <c r="P455" s="960"/>
      <c r="Q455" s="822"/>
      <c r="R455" s="961"/>
    </row>
    <row r="456" spans="1:18" s="444" customFormat="1" ht="40.5" customHeight="1">
      <c r="A456" s="672"/>
      <c r="B456" s="673"/>
      <c r="C456" s="454"/>
      <c r="D456" s="442"/>
      <c r="E456" s="966" t="s">
        <v>455</v>
      </c>
      <c r="F456" s="967"/>
      <c r="G456" s="967"/>
      <c r="H456" s="967">
        <v>0</v>
      </c>
      <c r="I456" s="704"/>
      <c r="J456" s="704"/>
      <c r="K456" s="532"/>
      <c r="L456" s="967"/>
      <c r="M456" s="967"/>
      <c r="N456" s="968">
        <v>11055.82</v>
      </c>
      <c r="O456" s="874"/>
      <c r="P456" s="960"/>
      <c r="Q456" s="822"/>
      <c r="R456" s="961"/>
    </row>
    <row r="457" spans="1:18" s="444" customFormat="1" ht="54.75" customHeight="1">
      <c r="A457" s="672"/>
      <c r="B457" s="673"/>
      <c r="C457" s="454"/>
      <c r="D457" s="442"/>
      <c r="E457" s="966" t="s">
        <v>456</v>
      </c>
      <c r="F457" s="967"/>
      <c r="G457" s="967"/>
      <c r="H457" s="967">
        <v>0</v>
      </c>
      <c r="I457" s="704"/>
      <c r="J457" s="704"/>
      <c r="K457" s="532"/>
      <c r="L457" s="967"/>
      <c r="M457" s="967"/>
      <c r="N457" s="968">
        <v>0</v>
      </c>
      <c r="O457" s="874"/>
      <c r="P457" s="960"/>
      <c r="Q457" s="822"/>
      <c r="R457" s="961"/>
    </row>
    <row r="458" spans="1:18" s="444" customFormat="1" ht="41.25" customHeight="1">
      <c r="A458" s="672"/>
      <c r="B458" s="673"/>
      <c r="C458" s="454"/>
      <c r="D458" s="442"/>
      <c r="E458" s="966" t="s">
        <v>457</v>
      </c>
      <c r="F458" s="967"/>
      <c r="G458" s="967"/>
      <c r="H458" s="967">
        <v>0</v>
      </c>
      <c r="I458" s="704"/>
      <c r="J458" s="704"/>
      <c r="K458" s="532"/>
      <c r="L458" s="967"/>
      <c r="M458" s="967"/>
      <c r="N458" s="968">
        <v>4063.44</v>
      </c>
      <c r="O458" s="874"/>
      <c r="P458" s="960"/>
      <c r="Q458" s="822"/>
      <c r="R458" s="961"/>
    </row>
    <row r="459" spans="1:18" s="444" customFormat="1" ht="54.75" customHeight="1">
      <c r="A459" s="672"/>
      <c r="B459" s="673"/>
      <c r="C459" s="454"/>
      <c r="D459" s="442"/>
      <c r="E459" s="966" t="s">
        <v>458</v>
      </c>
      <c r="F459" s="967"/>
      <c r="G459" s="967"/>
      <c r="H459" s="967">
        <v>0</v>
      </c>
      <c r="I459" s="704"/>
      <c r="J459" s="704"/>
      <c r="K459" s="532"/>
      <c r="L459" s="967"/>
      <c r="M459" s="967"/>
      <c r="N459" s="968">
        <v>0</v>
      </c>
      <c r="O459" s="874"/>
      <c r="P459" s="960"/>
      <c r="Q459" s="822"/>
      <c r="R459" s="961"/>
    </row>
    <row r="460" spans="1:18" s="444" customFormat="1" ht="43.5" customHeight="1">
      <c r="A460" s="672"/>
      <c r="B460" s="673"/>
      <c r="C460" s="454"/>
      <c r="D460" s="442"/>
      <c r="E460" s="966" t="s">
        <v>459</v>
      </c>
      <c r="F460" s="970"/>
      <c r="G460" s="970"/>
      <c r="H460" s="967">
        <v>32231.32</v>
      </c>
      <c r="I460" s="704"/>
      <c r="J460" s="704"/>
      <c r="K460" s="532"/>
      <c r="L460" s="970"/>
      <c r="M460" s="970"/>
      <c r="N460" s="968">
        <v>268900.84000000003</v>
      </c>
      <c r="O460" s="874"/>
      <c r="P460" s="960"/>
      <c r="Q460" s="822"/>
      <c r="R460" s="961"/>
    </row>
    <row r="461" spans="1:18" s="444" customFormat="1" ht="43.5" customHeight="1">
      <c r="A461" s="672"/>
      <c r="B461" s="673"/>
      <c r="C461" s="454"/>
      <c r="D461" s="442"/>
      <c r="E461" s="966" t="s">
        <v>460</v>
      </c>
      <c r="F461" s="970"/>
      <c r="G461" s="970"/>
      <c r="H461" s="967">
        <v>0</v>
      </c>
      <c r="I461" s="704"/>
      <c r="J461" s="704"/>
      <c r="K461" s="532"/>
      <c r="L461" s="970"/>
      <c r="M461" s="970"/>
      <c r="N461" s="968">
        <v>22831.31</v>
      </c>
      <c r="O461" s="874"/>
      <c r="P461" s="960"/>
      <c r="Q461" s="822"/>
      <c r="R461" s="961"/>
    </row>
    <row r="462" spans="1:18" s="444" customFormat="1" ht="43.5" customHeight="1">
      <c r="A462" s="672"/>
      <c r="B462" s="673"/>
      <c r="C462" s="454"/>
      <c r="D462" s="442"/>
      <c r="E462" s="966" t="s">
        <v>461</v>
      </c>
      <c r="F462" s="970"/>
      <c r="G462" s="970"/>
      <c r="H462" s="967">
        <v>692</v>
      </c>
      <c r="I462" s="704"/>
      <c r="J462" s="704"/>
      <c r="K462" s="532"/>
      <c r="L462" s="970"/>
      <c r="M462" s="970"/>
      <c r="N462" s="968">
        <v>5319.79</v>
      </c>
      <c r="O462" s="874"/>
      <c r="P462" s="960"/>
      <c r="Q462" s="822"/>
      <c r="R462" s="961"/>
    </row>
    <row r="463" spans="1:18" s="444" customFormat="1" ht="43.5" customHeight="1">
      <c r="A463" s="672"/>
      <c r="B463" s="673"/>
      <c r="C463" s="454"/>
      <c r="D463" s="442"/>
      <c r="E463" s="966" t="s">
        <v>462</v>
      </c>
      <c r="F463" s="970"/>
      <c r="G463" s="970"/>
      <c r="H463" s="967">
        <v>35817</v>
      </c>
      <c r="I463" s="704"/>
      <c r="J463" s="704"/>
      <c r="K463" s="532"/>
      <c r="L463" s="970"/>
      <c r="M463" s="970"/>
      <c r="N463" s="968">
        <v>207505.9</v>
      </c>
      <c r="O463" s="874"/>
      <c r="P463" s="960"/>
      <c r="Q463" s="822"/>
      <c r="R463" s="961"/>
    </row>
    <row r="464" spans="1:18" s="444" customFormat="1" ht="43.5" customHeight="1">
      <c r="A464" s="672"/>
      <c r="B464" s="673"/>
      <c r="C464" s="454"/>
      <c r="D464" s="442"/>
      <c r="E464" s="966" t="s">
        <v>463</v>
      </c>
      <c r="F464" s="970"/>
      <c r="G464" s="970"/>
      <c r="H464" s="967">
        <v>0</v>
      </c>
      <c r="I464" s="704"/>
      <c r="J464" s="704"/>
      <c r="K464" s="532"/>
      <c r="L464" s="970"/>
      <c r="M464" s="970"/>
      <c r="N464" s="968">
        <v>0</v>
      </c>
      <c r="O464" s="874"/>
      <c r="P464" s="960"/>
      <c r="Q464" s="822"/>
      <c r="R464" s="961"/>
    </row>
    <row r="465" spans="1:18" s="444" customFormat="1" ht="43.5" customHeight="1">
      <c r="A465" s="672"/>
      <c r="B465" s="673"/>
      <c r="C465" s="454"/>
      <c r="D465" s="442"/>
      <c r="E465" s="966" t="s">
        <v>609</v>
      </c>
      <c r="F465" s="970"/>
      <c r="G465" s="970"/>
      <c r="H465" s="967">
        <v>0</v>
      </c>
      <c r="I465" s="704"/>
      <c r="J465" s="704"/>
      <c r="K465" s="532"/>
      <c r="L465" s="970"/>
      <c r="M465" s="970"/>
      <c r="N465" s="968">
        <v>6585.14</v>
      </c>
      <c r="O465" s="874"/>
      <c r="P465" s="960"/>
      <c r="Q465" s="822"/>
      <c r="R465" s="961"/>
    </row>
    <row r="466" spans="1:18" s="444" customFormat="1" ht="43.5" customHeight="1">
      <c r="A466" s="672"/>
      <c r="B466" s="673"/>
      <c r="C466" s="454"/>
      <c r="D466" s="442"/>
      <c r="E466" s="966" t="s">
        <v>465</v>
      </c>
      <c r="F466" s="970"/>
      <c r="G466" s="970"/>
      <c r="H466" s="967">
        <v>0</v>
      </c>
      <c r="I466" s="704"/>
      <c r="J466" s="704"/>
      <c r="K466" s="532"/>
      <c r="L466" s="970"/>
      <c r="M466" s="970"/>
      <c r="N466" s="968">
        <v>0</v>
      </c>
      <c r="O466" s="874"/>
      <c r="P466" s="960"/>
      <c r="Q466" s="822"/>
      <c r="R466" s="961"/>
    </row>
    <row r="467" spans="1:18" s="444" customFormat="1" ht="43.5" customHeight="1">
      <c r="A467" s="672"/>
      <c r="B467" s="673"/>
      <c r="C467" s="454"/>
      <c r="D467" s="442"/>
      <c r="E467" s="966" t="s">
        <v>466</v>
      </c>
      <c r="F467" s="970"/>
      <c r="G467" s="970"/>
      <c r="H467" s="967">
        <v>0</v>
      </c>
      <c r="I467" s="704"/>
      <c r="J467" s="704"/>
      <c r="K467" s="532"/>
      <c r="L467" s="970"/>
      <c r="M467" s="970"/>
      <c r="N467" s="968">
        <v>1293</v>
      </c>
      <c r="O467" s="874"/>
      <c r="P467" s="960"/>
      <c r="Q467" s="822"/>
      <c r="R467" s="961"/>
    </row>
    <row r="468" spans="1:18" s="444" customFormat="1" ht="69.75" customHeight="1">
      <c r="A468" s="672"/>
      <c r="B468" s="673"/>
      <c r="C468" s="454"/>
      <c r="D468" s="442"/>
      <c r="E468" s="966" t="s">
        <v>610</v>
      </c>
      <c r="F468" s="970"/>
      <c r="G468" s="970"/>
      <c r="H468" s="967">
        <v>1674.81</v>
      </c>
      <c r="I468" s="704"/>
      <c r="J468" s="704"/>
      <c r="K468" s="532"/>
      <c r="L468" s="970"/>
      <c r="M468" s="970"/>
      <c r="N468" s="968">
        <v>15342.81</v>
      </c>
      <c r="O468" s="874"/>
      <c r="P468" s="960"/>
      <c r="Q468" s="822"/>
      <c r="R468" s="961"/>
    </row>
    <row r="469" spans="1:18" s="444" customFormat="1" ht="57" customHeight="1">
      <c r="A469" s="672"/>
      <c r="B469" s="673"/>
      <c r="C469" s="965"/>
      <c r="D469" s="442"/>
      <c r="E469" s="950" t="s">
        <v>467</v>
      </c>
      <c r="F469" s="955">
        <v>117300</v>
      </c>
      <c r="G469" s="955">
        <v>111778</v>
      </c>
      <c r="H469" s="955">
        <v>74715.13</v>
      </c>
      <c r="I469" s="704"/>
      <c r="J469" s="704"/>
      <c r="K469" s="532"/>
      <c r="L469" s="955">
        <v>0</v>
      </c>
      <c r="M469" s="955">
        <v>0</v>
      </c>
      <c r="N469" s="955">
        <v>0</v>
      </c>
      <c r="O469" s="932">
        <v>0</v>
      </c>
      <c r="P469" s="960" t="s">
        <v>286</v>
      </c>
      <c r="Q469" s="822"/>
      <c r="R469" s="961"/>
    </row>
    <row r="470" spans="1:18" s="438" customFormat="1" ht="94.2" customHeight="1">
      <c r="A470" s="558"/>
      <c r="B470" s="64"/>
      <c r="C470" s="458" t="s">
        <v>53</v>
      </c>
      <c r="D470" s="459"/>
      <c r="E470" s="462" t="s">
        <v>418</v>
      </c>
      <c r="F470" s="525"/>
      <c r="G470" s="278"/>
      <c r="H470" s="278"/>
      <c r="I470" s="278"/>
      <c r="J470" s="278"/>
      <c r="K470" s="457">
        <v>4200</v>
      </c>
      <c r="L470" s="457">
        <f t="shared" ref="L470:L472" si="110">SUM(F470:K470)</f>
        <v>4200</v>
      </c>
      <c r="M470" s="457">
        <v>4200</v>
      </c>
      <c r="N470" s="457">
        <v>3600</v>
      </c>
      <c r="O470" s="877">
        <f>N470/M470</f>
        <v>0.8571428571428571</v>
      </c>
      <c r="P470" s="761" t="s">
        <v>286</v>
      </c>
    </row>
    <row r="471" spans="1:18" s="269" customFormat="1" ht="74.25" customHeight="1">
      <c r="A471" s="558"/>
      <c r="B471" s="64"/>
      <c r="C471" s="185" t="s">
        <v>58</v>
      </c>
      <c r="D471" s="283"/>
      <c r="E471" s="279" t="s">
        <v>143</v>
      </c>
      <c r="F471" s="525"/>
      <c r="G471" s="278"/>
      <c r="H471" s="278"/>
      <c r="I471" s="278"/>
      <c r="J471" s="278"/>
      <c r="K471" s="457">
        <f>1659000+99000</f>
        <v>1758000</v>
      </c>
      <c r="L471" s="457">
        <f t="shared" si="110"/>
        <v>1758000</v>
      </c>
      <c r="M471" s="457">
        <v>1758000</v>
      </c>
      <c r="N471" s="457">
        <v>962270.28</v>
      </c>
      <c r="O471" s="877">
        <f>N471/M471</f>
        <v>0.54736648464163828</v>
      </c>
      <c r="P471" s="761" t="s">
        <v>286</v>
      </c>
    </row>
    <row r="472" spans="1:18" s="814" customFormat="1" ht="74.25" customHeight="1">
      <c r="A472" s="803"/>
      <c r="B472" s="658"/>
      <c r="C472" s="809" t="s">
        <v>147</v>
      </c>
      <c r="D472" s="812"/>
      <c r="E472" s="561" t="s">
        <v>352</v>
      </c>
      <c r="F472" s="562"/>
      <c r="G472" s="562"/>
      <c r="H472" s="562"/>
      <c r="I472" s="562"/>
      <c r="J472" s="562"/>
      <c r="K472" s="681">
        <v>250000</v>
      </c>
      <c r="L472" s="680">
        <f t="shared" si="110"/>
        <v>250000</v>
      </c>
      <c r="M472" s="680">
        <v>250000</v>
      </c>
      <c r="N472" s="680">
        <v>7380</v>
      </c>
      <c r="O472" s="915">
        <f>N472/M472</f>
        <v>2.9520000000000001E-2</v>
      </c>
      <c r="P472" s="813" t="s">
        <v>286</v>
      </c>
    </row>
    <row r="473" spans="1:18" s="438" customFormat="1" ht="51.75" customHeight="1">
      <c r="A473" s="803"/>
      <c r="B473" s="658"/>
      <c r="C473" s="989"/>
      <c r="D473" s="990"/>
      <c r="E473" s="1310" t="s">
        <v>353</v>
      </c>
      <c r="F473" s="1310"/>
      <c r="G473" s="1310"/>
      <c r="H473" s="1310"/>
      <c r="I473" s="1310"/>
      <c r="J473" s="1310"/>
      <c r="K473" s="1310"/>
      <c r="L473" s="1310"/>
      <c r="M473" s="1310"/>
      <c r="N473" s="1310"/>
      <c r="O473" s="1310"/>
      <c r="P473" s="761"/>
    </row>
    <row r="474" spans="1:18" s="1033" customFormat="1" ht="57.75" customHeight="1">
      <c r="A474" s="1035"/>
      <c r="B474" s="710"/>
      <c r="C474" s="1036"/>
      <c r="D474" s="416"/>
      <c r="E474" s="1262" t="s">
        <v>661</v>
      </c>
      <c r="F474" s="1262"/>
      <c r="G474" s="1262"/>
      <c r="H474" s="1262"/>
      <c r="I474" s="1262"/>
      <c r="J474" s="1262"/>
      <c r="K474" s="1262"/>
      <c r="L474" s="1262"/>
      <c r="M474" s="1262"/>
      <c r="N474" s="1262"/>
      <c r="O474" s="1285"/>
      <c r="P474" s="1052"/>
      <c r="Q474" s="1032"/>
      <c r="R474" s="1053"/>
    </row>
    <row r="475" spans="1:18" s="438" customFormat="1" ht="52.2" customHeight="1">
      <c r="A475" s="558"/>
      <c r="B475" s="64"/>
      <c r="C475" s="1242" t="s">
        <v>235</v>
      </c>
      <c r="D475" s="1243"/>
      <c r="E475" s="993" t="s">
        <v>662</v>
      </c>
      <c r="F475" s="994"/>
      <c r="G475" s="995"/>
      <c r="H475" s="995"/>
      <c r="I475" s="995"/>
      <c r="J475" s="995"/>
      <c r="K475" s="379">
        <f>1659000+99000</f>
        <v>1758000</v>
      </c>
      <c r="L475" s="379">
        <v>0</v>
      </c>
      <c r="M475" s="379">
        <v>71706</v>
      </c>
      <c r="N475" s="379">
        <v>0</v>
      </c>
      <c r="O475" s="996">
        <f>N475/M475</f>
        <v>0</v>
      </c>
      <c r="P475" s="761" t="s">
        <v>286</v>
      </c>
    </row>
    <row r="476" spans="1:18" s="1033" customFormat="1" ht="42.75" customHeight="1">
      <c r="A476" s="1035"/>
      <c r="B476" s="710"/>
      <c r="C476" s="1036"/>
      <c r="D476" s="416"/>
      <c r="E476" s="1262" t="s">
        <v>913</v>
      </c>
      <c r="F476" s="1262"/>
      <c r="G476" s="1262"/>
      <c r="H476" s="1262"/>
      <c r="I476" s="1262"/>
      <c r="J476" s="1262"/>
      <c r="K476" s="1262"/>
      <c r="L476" s="1262"/>
      <c r="M476" s="1262"/>
      <c r="N476" s="1262"/>
      <c r="O476" s="1285"/>
      <c r="P476" s="1052"/>
      <c r="Q476" s="1032"/>
      <c r="R476" s="1053"/>
    </row>
    <row r="477" spans="1:18" s="438" customFormat="1" ht="96" customHeight="1">
      <c r="A477" s="558"/>
      <c r="B477" s="64"/>
      <c r="C477" s="991" t="s">
        <v>238</v>
      </c>
      <c r="D477" s="992"/>
      <c r="E477" s="993" t="s">
        <v>551</v>
      </c>
      <c r="F477" s="994"/>
      <c r="G477" s="995"/>
      <c r="H477" s="995"/>
      <c r="I477" s="995"/>
      <c r="J477" s="995"/>
      <c r="K477" s="379">
        <f>1659000+99000</f>
        <v>1758000</v>
      </c>
      <c r="L477" s="379">
        <v>0</v>
      </c>
      <c r="M477" s="379">
        <v>80000</v>
      </c>
      <c r="N477" s="379">
        <v>79999.8</v>
      </c>
      <c r="O477" s="996">
        <f>N477/M477</f>
        <v>0.99999749999999998</v>
      </c>
      <c r="P477" s="761" t="s">
        <v>286</v>
      </c>
    </row>
    <row r="478" spans="1:18" s="814" customFormat="1" ht="96" customHeight="1">
      <c r="A478" s="803"/>
      <c r="B478" s="1343"/>
      <c r="C478" s="991" t="s">
        <v>660</v>
      </c>
      <c r="D478" s="992"/>
      <c r="E478" s="993" t="s">
        <v>552</v>
      </c>
      <c r="F478" s="994"/>
      <c r="G478" s="995"/>
      <c r="H478" s="995"/>
      <c r="I478" s="995"/>
      <c r="J478" s="995"/>
      <c r="K478" s="379">
        <f>1659000+99000</f>
        <v>1758000</v>
      </c>
      <c r="L478" s="379">
        <v>0</v>
      </c>
      <c r="M478" s="379">
        <v>54960</v>
      </c>
      <c r="N478" s="379">
        <v>0</v>
      </c>
      <c r="O478" s="996">
        <f>N478/M478</f>
        <v>0</v>
      </c>
      <c r="P478" s="813" t="s">
        <v>286</v>
      </c>
    </row>
    <row r="479" spans="1:18" s="438" customFormat="1">
      <c r="A479" s="803"/>
      <c r="B479" s="1343"/>
      <c r="C479" s="1344"/>
      <c r="D479" s="1345"/>
      <c r="E479" s="1262" t="s">
        <v>914</v>
      </c>
      <c r="F479" s="1262"/>
      <c r="G479" s="1262"/>
      <c r="H479" s="1262"/>
      <c r="I479" s="1262"/>
      <c r="J479" s="1262"/>
      <c r="K479" s="1262"/>
      <c r="L479" s="1262"/>
      <c r="M479" s="1262"/>
      <c r="N479" s="1262"/>
      <c r="O479" s="1285"/>
      <c r="P479" s="761"/>
    </row>
    <row r="480" spans="1:18" s="79" customFormat="1" ht="64.5" customHeight="1">
      <c r="A480" s="573"/>
      <c r="B480" s="78">
        <v>80103</v>
      </c>
      <c r="C480" s="77"/>
      <c r="D480" s="76"/>
      <c r="E480" s="75" t="s">
        <v>61</v>
      </c>
      <c r="F480" s="414">
        <f>F481+F482+F568+F569</f>
        <v>0</v>
      </c>
      <c r="G480" s="414">
        <f>G481+G482+G568+G569</f>
        <v>0</v>
      </c>
      <c r="H480" s="414">
        <f>H481+H482+H568+H569</f>
        <v>0</v>
      </c>
      <c r="I480" s="414">
        <f>I481+I482+I568+I569</f>
        <v>0</v>
      </c>
      <c r="J480" s="414">
        <f>J481+J482+J568+J569</f>
        <v>0</v>
      </c>
      <c r="K480" s="414">
        <f>K481+K482+K525+K568+K569</f>
        <v>2565500</v>
      </c>
      <c r="L480" s="95">
        <f t="shared" ref="L480:L481" si="111">SUM(F480:K480)</f>
        <v>2565500</v>
      </c>
      <c r="M480" s="95">
        <f>M481+M482+M568+M569+M525</f>
        <v>2565500</v>
      </c>
      <c r="N480" s="95">
        <f>N481+N482+N568+N569+N525</f>
        <v>1347018.4500000002</v>
      </c>
      <c r="O480" s="868">
        <f>N480/M480</f>
        <v>0.52505104268173852</v>
      </c>
      <c r="P480" s="760" t="s">
        <v>286</v>
      </c>
    </row>
    <row r="481" spans="1:18" s="269" customFormat="1" ht="71.25" customHeight="1">
      <c r="A481" s="558"/>
      <c r="B481" s="64"/>
      <c r="C481" s="185">
        <v>1</v>
      </c>
      <c r="D481" s="283"/>
      <c r="E481" s="279" t="s">
        <v>143</v>
      </c>
      <c r="F481" s="525"/>
      <c r="G481" s="278"/>
      <c r="H481" s="278"/>
      <c r="I481" s="278"/>
      <c r="J481" s="278"/>
      <c r="K481" s="457">
        <f>448000+40500</f>
        <v>488500</v>
      </c>
      <c r="L481" s="457">
        <f t="shared" si="111"/>
        <v>488500</v>
      </c>
      <c r="M481" s="457">
        <v>488500</v>
      </c>
      <c r="N481" s="457">
        <v>286394.40000000002</v>
      </c>
      <c r="O481" s="877">
        <f>N481/M481</f>
        <v>0.58627308085977492</v>
      </c>
      <c r="P481" s="761" t="s">
        <v>286</v>
      </c>
    </row>
    <row r="482" spans="1:18" s="439" customFormat="1" ht="62.25" customHeight="1">
      <c r="A482" s="437"/>
      <c r="B482" s="424"/>
      <c r="C482" s="458">
        <v>2</v>
      </c>
      <c r="D482" s="459"/>
      <c r="E482" s="183" t="s">
        <v>191</v>
      </c>
      <c r="F482" s="460"/>
      <c r="G482" s="484"/>
      <c r="H482" s="460"/>
      <c r="I482" s="484"/>
      <c r="J482" s="460"/>
      <c r="K482" s="474">
        <f>912000+39777+45000+26223+1000</f>
        <v>1024000</v>
      </c>
      <c r="L482" s="457">
        <f>L483+L502+L524</f>
        <v>1024000</v>
      </c>
      <c r="M482" s="457">
        <f t="shared" ref="M482:N482" si="112">M483+M502+M524</f>
        <v>1024000</v>
      </c>
      <c r="N482" s="457">
        <f t="shared" si="112"/>
        <v>503869.20000000007</v>
      </c>
      <c r="O482" s="877">
        <f>N482/M482</f>
        <v>0.49205976562500009</v>
      </c>
      <c r="P482" s="779" t="s">
        <v>286</v>
      </c>
    </row>
    <row r="483" spans="1:18" s="435" customFormat="1" ht="39.9" customHeight="1">
      <c r="A483" s="705"/>
      <c r="B483" s="949"/>
      <c r="C483" s="463"/>
      <c r="D483" s="448"/>
      <c r="E483" s="950" t="s">
        <v>435</v>
      </c>
      <c r="F483" s="951"/>
      <c r="G483" s="952"/>
      <c r="H483" s="952"/>
      <c r="I483" s="952"/>
      <c r="J483" s="953"/>
      <c r="K483" s="954"/>
      <c r="L483" s="955">
        <v>912000</v>
      </c>
      <c r="M483" s="955">
        <v>907374</v>
      </c>
      <c r="N483" s="956">
        <f>SUM(N485:N501)</f>
        <v>431193.49000000005</v>
      </c>
      <c r="O483" s="932">
        <f t="shared" ref="O483" si="113">N483/M483</f>
        <v>0.47521032121264223</v>
      </c>
      <c r="P483" s="957" t="s">
        <v>286</v>
      </c>
      <c r="Q483" s="823"/>
      <c r="R483" s="958"/>
    </row>
    <row r="484" spans="1:18" s="444" customFormat="1" ht="34.5" customHeight="1">
      <c r="A484" s="672"/>
      <c r="B484" s="673"/>
      <c r="C484" s="454"/>
      <c r="D484" s="442"/>
      <c r="E484" s="959" t="s">
        <v>16</v>
      </c>
      <c r="F484" s="703"/>
      <c r="G484" s="704"/>
      <c r="H484" s="704"/>
      <c r="I484" s="704"/>
      <c r="J484" s="704"/>
      <c r="K484" s="389"/>
      <c r="L484" s="666"/>
      <c r="M484" s="666"/>
      <c r="N484" s="666"/>
      <c r="O484" s="874"/>
      <c r="P484" s="960"/>
      <c r="Q484" s="822"/>
      <c r="R484" s="961"/>
    </row>
    <row r="485" spans="1:18" s="444" customFormat="1" ht="36" customHeight="1">
      <c r="A485" s="672"/>
      <c r="B485" s="673"/>
      <c r="C485" s="454"/>
      <c r="D485" s="429"/>
      <c r="E485" s="962" t="s">
        <v>580</v>
      </c>
      <c r="F485" s="703"/>
      <c r="G485" s="704"/>
      <c r="H485" s="704"/>
      <c r="I485" s="704"/>
      <c r="J485" s="704"/>
      <c r="K485" s="389"/>
      <c r="L485" s="963"/>
      <c r="M485" s="963"/>
      <c r="N485" s="964">
        <v>221568.85</v>
      </c>
      <c r="O485" s="874"/>
      <c r="P485" s="960"/>
      <c r="Q485" s="822"/>
      <c r="R485" s="961"/>
    </row>
    <row r="486" spans="1:18" s="444" customFormat="1" ht="65.400000000000006" customHeight="1">
      <c r="A486" s="672"/>
      <c r="B486" s="673"/>
      <c r="C486" s="454"/>
      <c r="D486" s="442"/>
      <c r="E486" s="962" t="s">
        <v>581</v>
      </c>
      <c r="F486" s="703"/>
      <c r="G486" s="704"/>
      <c r="H486" s="704"/>
      <c r="I486" s="704"/>
      <c r="J486" s="704"/>
      <c r="K486" s="389"/>
      <c r="L486" s="963"/>
      <c r="M486" s="963"/>
      <c r="N486" s="964">
        <v>0</v>
      </c>
      <c r="O486" s="874"/>
      <c r="P486" s="960"/>
      <c r="Q486" s="822"/>
      <c r="R486" s="961"/>
    </row>
    <row r="487" spans="1:18" s="444" customFormat="1" ht="58.2" customHeight="1">
      <c r="A487" s="672"/>
      <c r="B487" s="673"/>
      <c r="C487" s="454"/>
      <c r="D487" s="442"/>
      <c r="E487" s="962" t="s">
        <v>582</v>
      </c>
      <c r="F487" s="703"/>
      <c r="G487" s="704"/>
      <c r="H487" s="704"/>
      <c r="I487" s="704"/>
      <c r="J487" s="704"/>
      <c r="K487" s="389"/>
      <c r="L487" s="963"/>
      <c r="M487" s="963"/>
      <c r="N487" s="964">
        <v>4926.92</v>
      </c>
      <c r="O487" s="874"/>
      <c r="P487" s="960"/>
      <c r="Q487" s="822"/>
      <c r="R487" s="961"/>
    </row>
    <row r="488" spans="1:18" s="444" customFormat="1" ht="36" customHeight="1">
      <c r="A488" s="672"/>
      <c r="B488" s="673"/>
      <c r="C488" s="454"/>
      <c r="D488" s="442"/>
      <c r="E488" s="962" t="s">
        <v>583</v>
      </c>
      <c r="F488" s="703"/>
      <c r="G488" s="704"/>
      <c r="H488" s="704"/>
      <c r="I488" s="704"/>
      <c r="J488" s="704"/>
      <c r="K488" s="389"/>
      <c r="L488" s="963"/>
      <c r="M488" s="963"/>
      <c r="N488" s="964">
        <v>5290.45</v>
      </c>
      <c r="O488" s="874"/>
      <c r="P488" s="960"/>
      <c r="Q488" s="822"/>
      <c r="R488" s="961"/>
    </row>
    <row r="489" spans="1:18" s="444" customFormat="1" ht="36" customHeight="1">
      <c r="A489" s="672"/>
      <c r="B489" s="673"/>
      <c r="C489" s="454"/>
      <c r="D489" s="442"/>
      <c r="E489" s="962" t="s">
        <v>471</v>
      </c>
      <c r="F489" s="703"/>
      <c r="G489" s="704"/>
      <c r="H489" s="704"/>
      <c r="I489" s="704"/>
      <c r="J489" s="704"/>
      <c r="K489" s="389"/>
      <c r="L489" s="963"/>
      <c r="M489" s="963"/>
      <c r="N489" s="964">
        <v>0</v>
      </c>
      <c r="O489" s="874"/>
      <c r="P489" s="960"/>
      <c r="Q489" s="822"/>
      <c r="R489" s="961"/>
    </row>
    <row r="490" spans="1:18" s="444" customFormat="1" ht="36" customHeight="1">
      <c r="A490" s="672"/>
      <c r="B490" s="673"/>
      <c r="C490" s="454"/>
      <c r="D490" s="442"/>
      <c r="E490" s="962" t="s">
        <v>437</v>
      </c>
      <c r="F490" s="703"/>
      <c r="G490" s="704"/>
      <c r="H490" s="704"/>
      <c r="I490" s="704"/>
      <c r="J490" s="704"/>
      <c r="K490" s="389"/>
      <c r="L490" s="963"/>
      <c r="M490" s="963"/>
      <c r="N490" s="964">
        <v>0</v>
      </c>
      <c r="O490" s="874"/>
      <c r="P490" s="960"/>
      <c r="Q490" s="822"/>
      <c r="R490" s="961"/>
    </row>
    <row r="491" spans="1:18" s="444" customFormat="1" ht="36" customHeight="1">
      <c r="A491" s="672"/>
      <c r="B491" s="673"/>
      <c r="C491" s="454"/>
      <c r="D491" s="442"/>
      <c r="E491" s="962" t="s">
        <v>438</v>
      </c>
      <c r="F491" s="703"/>
      <c r="G491" s="704"/>
      <c r="H491" s="704"/>
      <c r="I491" s="704"/>
      <c r="J491" s="704"/>
      <c r="K491" s="389"/>
      <c r="L491" s="963"/>
      <c r="M491" s="963"/>
      <c r="N491" s="964">
        <v>0</v>
      </c>
      <c r="O491" s="874"/>
      <c r="P491" s="960"/>
      <c r="Q491" s="822"/>
      <c r="R491" s="961"/>
    </row>
    <row r="492" spans="1:18" s="444" customFormat="1" ht="36" customHeight="1">
      <c r="A492" s="672"/>
      <c r="B492" s="673"/>
      <c r="C492" s="454"/>
      <c r="D492" s="442"/>
      <c r="E492" s="962" t="s">
        <v>503</v>
      </c>
      <c r="F492" s="703"/>
      <c r="G492" s="704"/>
      <c r="H492" s="704"/>
      <c r="I492" s="704"/>
      <c r="J492" s="704"/>
      <c r="K492" s="389"/>
      <c r="L492" s="963"/>
      <c r="M492" s="963"/>
      <c r="N492" s="964">
        <v>0</v>
      </c>
      <c r="O492" s="874"/>
      <c r="P492" s="960"/>
      <c r="Q492" s="822"/>
      <c r="R492" s="961"/>
    </row>
    <row r="493" spans="1:18" s="444" customFormat="1" ht="36" customHeight="1">
      <c r="A493" s="672"/>
      <c r="B493" s="673"/>
      <c r="C493" s="454"/>
      <c r="D493" s="442"/>
      <c r="E493" s="962" t="s">
        <v>439</v>
      </c>
      <c r="F493" s="703"/>
      <c r="G493" s="704"/>
      <c r="H493" s="704"/>
      <c r="I493" s="704"/>
      <c r="J493" s="704"/>
      <c r="K493" s="389"/>
      <c r="L493" s="963"/>
      <c r="M493" s="963"/>
      <c r="N493" s="964">
        <v>0</v>
      </c>
      <c r="O493" s="874"/>
      <c r="P493" s="960"/>
      <c r="Q493" s="822"/>
      <c r="R493" s="961"/>
    </row>
    <row r="494" spans="1:18" s="444" customFormat="1" ht="36" customHeight="1">
      <c r="A494" s="672"/>
      <c r="B494" s="673"/>
      <c r="C494" s="454"/>
      <c r="D494" s="442"/>
      <c r="E494" s="962" t="s">
        <v>440</v>
      </c>
      <c r="F494" s="703"/>
      <c r="G494" s="704"/>
      <c r="H494" s="704"/>
      <c r="I494" s="704"/>
      <c r="J494" s="704"/>
      <c r="K494" s="389"/>
      <c r="L494" s="963"/>
      <c r="M494" s="963"/>
      <c r="N494" s="964">
        <v>0</v>
      </c>
      <c r="O494" s="874"/>
      <c r="P494" s="960"/>
      <c r="Q494" s="822"/>
      <c r="R494" s="961"/>
    </row>
    <row r="495" spans="1:18" s="444" customFormat="1" ht="57.75" customHeight="1">
      <c r="A495" s="672"/>
      <c r="B495" s="673"/>
      <c r="C495" s="454"/>
      <c r="D495" s="442"/>
      <c r="E495" s="962" t="s">
        <v>584</v>
      </c>
      <c r="F495" s="703"/>
      <c r="G495" s="704"/>
      <c r="H495" s="704"/>
      <c r="I495" s="704"/>
      <c r="J495" s="704"/>
      <c r="K495" s="389"/>
      <c r="L495" s="963"/>
      <c r="M495" s="963"/>
      <c r="N495" s="964">
        <v>14.02</v>
      </c>
      <c r="O495" s="874"/>
      <c r="P495" s="960"/>
      <c r="Q495" s="822"/>
      <c r="R495" s="961"/>
    </row>
    <row r="496" spans="1:18" s="444" customFormat="1" ht="57" customHeight="1">
      <c r="A496" s="672"/>
      <c r="B496" s="673"/>
      <c r="C496" s="454"/>
      <c r="D496" s="442"/>
      <c r="E496" s="962" t="s">
        <v>585</v>
      </c>
      <c r="F496" s="703"/>
      <c r="G496" s="704"/>
      <c r="H496" s="704"/>
      <c r="I496" s="704"/>
      <c r="J496" s="704"/>
      <c r="K496" s="389"/>
      <c r="L496" s="963"/>
      <c r="M496" s="963"/>
      <c r="N496" s="964">
        <v>83968.79</v>
      </c>
      <c r="O496" s="874"/>
      <c r="P496" s="960"/>
      <c r="Q496" s="822"/>
      <c r="R496" s="961"/>
    </row>
    <row r="497" spans="1:18" s="444" customFormat="1" ht="36" customHeight="1">
      <c r="A497" s="672"/>
      <c r="B497" s="673"/>
      <c r="C497" s="454"/>
      <c r="D497" s="442"/>
      <c r="E497" s="962" t="s">
        <v>442</v>
      </c>
      <c r="F497" s="703"/>
      <c r="G497" s="704"/>
      <c r="H497" s="704"/>
      <c r="I497" s="704"/>
      <c r="J497" s="704"/>
      <c r="K497" s="389"/>
      <c r="L497" s="963"/>
      <c r="M497" s="963"/>
      <c r="N497" s="964">
        <v>0</v>
      </c>
      <c r="O497" s="874"/>
      <c r="P497" s="960"/>
      <c r="Q497" s="822"/>
      <c r="R497" s="961"/>
    </row>
    <row r="498" spans="1:18" s="444" customFormat="1" ht="36" customHeight="1">
      <c r="A498" s="672"/>
      <c r="B498" s="673"/>
      <c r="C498" s="454"/>
      <c r="D498" s="442"/>
      <c r="E498" s="962" t="s">
        <v>443</v>
      </c>
      <c r="F498" s="703"/>
      <c r="G498" s="704"/>
      <c r="H498" s="704"/>
      <c r="I498" s="704"/>
      <c r="J498" s="704"/>
      <c r="K498" s="389"/>
      <c r="L498" s="963"/>
      <c r="M498" s="963"/>
      <c r="N498" s="964">
        <v>44453.91</v>
      </c>
      <c r="O498" s="874"/>
      <c r="P498" s="960"/>
      <c r="Q498" s="822"/>
      <c r="R498" s="961"/>
    </row>
    <row r="499" spans="1:18" s="444" customFormat="1" ht="36" customHeight="1">
      <c r="A499" s="672"/>
      <c r="B499" s="673"/>
      <c r="C499" s="454"/>
      <c r="D499" s="442"/>
      <c r="E499" s="962" t="s">
        <v>490</v>
      </c>
      <c r="F499" s="703"/>
      <c r="G499" s="704"/>
      <c r="H499" s="704"/>
      <c r="I499" s="704"/>
      <c r="J499" s="704"/>
      <c r="K499" s="389"/>
      <c r="L499" s="963"/>
      <c r="M499" s="963"/>
      <c r="N499" s="964">
        <v>0</v>
      </c>
      <c r="O499" s="874"/>
      <c r="P499" s="960"/>
      <c r="Q499" s="822"/>
      <c r="R499" s="961"/>
    </row>
    <row r="500" spans="1:18" s="444" customFormat="1" ht="36" customHeight="1">
      <c r="A500" s="672"/>
      <c r="B500" s="673"/>
      <c r="C500" s="454"/>
      <c r="D500" s="442"/>
      <c r="E500" s="962" t="s">
        <v>586</v>
      </c>
      <c r="F500" s="703"/>
      <c r="G500" s="704"/>
      <c r="H500" s="704"/>
      <c r="I500" s="704"/>
      <c r="J500" s="704"/>
      <c r="K500" s="389"/>
      <c r="L500" s="963"/>
      <c r="M500" s="963"/>
      <c r="N500" s="964">
        <v>80.16</v>
      </c>
      <c r="O500" s="874"/>
      <c r="P500" s="960"/>
      <c r="Q500" s="822"/>
      <c r="R500" s="961"/>
    </row>
    <row r="501" spans="1:18" s="444" customFormat="1" ht="36" customHeight="1">
      <c r="A501" s="672"/>
      <c r="B501" s="673"/>
      <c r="C501" s="454"/>
      <c r="D501" s="442"/>
      <c r="E501" s="962" t="s">
        <v>445</v>
      </c>
      <c r="F501" s="703"/>
      <c r="G501" s="704"/>
      <c r="H501" s="704"/>
      <c r="I501" s="704"/>
      <c r="J501" s="704"/>
      <c r="K501" s="389"/>
      <c r="L501" s="963"/>
      <c r="M501" s="963"/>
      <c r="N501" s="964">
        <v>70890.39</v>
      </c>
      <c r="O501" s="874"/>
      <c r="P501" s="960"/>
      <c r="Q501" s="822"/>
      <c r="R501" s="961"/>
    </row>
    <row r="502" spans="1:18" s="444" customFormat="1" ht="48.75" customHeight="1">
      <c r="A502" s="672"/>
      <c r="B502" s="673"/>
      <c r="C502" s="965"/>
      <c r="D502" s="442"/>
      <c r="E502" s="950" t="s">
        <v>446</v>
      </c>
      <c r="F502" s="955">
        <v>117300</v>
      </c>
      <c r="G502" s="955">
        <v>111778</v>
      </c>
      <c r="H502" s="955">
        <v>74715.13</v>
      </c>
      <c r="I502" s="704"/>
      <c r="J502" s="704"/>
      <c r="K502" s="532"/>
      <c r="L502" s="955">
        <v>112000</v>
      </c>
      <c r="M502" s="955">
        <v>116626</v>
      </c>
      <c r="N502" s="956">
        <f>SUM(N503:N523)</f>
        <v>72675.709999999992</v>
      </c>
      <c r="O502" s="932">
        <f>N502/M502</f>
        <v>0.62315187008042794</v>
      </c>
      <c r="P502" s="960" t="s">
        <v>286</v>
      </c>
      <c r="Q502" s="822"/>
      <c r="R502" s="961"/>
    </row>
    <row r="503" spans="1:18" s="444" customFormat="1" ht="79.5" customHeight="1">
      <c r="A503" s="672"/>
      <c r="B503" s="673"/>
      <c r="C503" s="965"/>
      <c r="D503" s="442"/>
      <c r="E503" s="966" t="s">
        <v>447</v>
      </c>
      <c r="F503" s="967"/>
      <c r="G503" s="967"/>
      <c r="H503" s="967">
        <v>0</v>
      </c>
      <c r="I503" s="704"/>
      <c r="J503" s="704"/>
      <c r="K503" s="532"/>
      <c r="L503" s="967"/>
      <c r="M503" s="967"/>
      <c r="N503" s="968">
        <v>90.04</v>
      </c>
      <c r="O503" s="874"/>
      <c r="P503" s="960"/>
      <c r="Q503" s="822"/>
      <c r="R503" s="961"/>
    </row>
    <row r="504" spans="1:18" s="444" customFormat="1" ht="36" customHeight="1">
      <c r="A504" s="672"/>
      <c r="B504" s="673"/>
      <c r="C504" s="965"/>
      <c r="D504" s="442"/>
      <c r="E504" s="966" t="s">
        <v>448</v>
      </c>
      <c r="F504" s="967"/>
      <c r="G504" s="967"/>
      <c r="H504" s="967">
        <v>0</v>
      </c>
      <c r="I504" s="704"/>
      <c r="J504" s="704"/>
      <c r="K504" s="532"/>
      <c r="L504" s="967"/>
      <c r="M504" s="967"/>
      <c r="N504" s="968">
        <v>0</v>
      </c>
      <c r="O504" s="874"/>
      <c r="P504" s="960"/>
      <c r="Q504" s="822"/>
      <c r="R504" s="961"/>
    </row>
    <row r="505" spans="1:18" s="444" customFormat="1" ht="36" customHeight="1">
      <c r="A505" s="672"/>
      <c r="B505" s="673"/>
      <c r="C505" s="965"/>
      <c r="D505" s="442"/>
      <c r="E505" s="966" t="s">
        <v>449</v>
      </c>
      <c r="F505" s="967"/>
      <c r="G505" s="967"/>
      <c r="H505" s="967">
        <v>0</v>
      </c>
      <c r="I505" s="704"/>
      <c r="J505" s="704"/>
      <c r="K505" s="532"/>
      <c r="L505" s="967"/>
      <c r="M505" s="967"/>
      <c r="N505" s="968">
        <v>0</v>
      </c>
      <c r="O505" s="874"/>
      <c r="P505" s="960"/>
      <c r="Q505" s="822"/>
      <c r="R505" s="961"/>
    </row>
    <row r="506" spans="1:18" s="444" customFormat="1" ht="36" customHeight="1">
      <c r="A506" s="672"/>
      <c r="B506" s="673"/>
      <c r="C506" s="965"/>
      <c r="D506" s="442"/>
      <c r="E506" s="966" t="s">
        <v>450</v>
      </c>
      <c r="F506" s="967"/>
      <c r="G506" s="967"/>
      <c r="H506" s="967">
        <v>0</v>
      </c>
      <c r="I506" s="704"/>
      <c r="J506" s="704"/>
      <c r="K506" s="532"/>
      <c r="L506" s="967"/>
      <c r="M506" s="967"/>
      <c r="N506" s="968">
        <v>0</v>
      </c>
      <c r="O506" s="874"/>
      <c r="P506" s="960"/>
      <c r="Q506" s="822"/>
      <c r="R506" s="961"/>
    </row>
    <row r="507" spans="1:18" s="444" customFormat="1" ht="36" customHeight="1">
      <c r="A507" s="672"/>
      <c r="B507" s="673"/>
      <c r="C507" s="965"/>
      <c r="D507" s="442"/>
      <c r="E507" s="966" t="s">
        <v>451</v>
      </c>
      <c r="F507" s="967"/>
      <c r="G507" s="967"/>
      <c r="H507" s="967">
        <v>0</v>
      </c>
      <c r="I507" s="704"/>
      <c r="J507" s="704"/>
      <c r="K507" s="532"/>
      <c r="L507" s="967"/>
      <c r="M507" s="967"/>
      <c r="N507" s="968">
        <v>0</v>
      </c>
      <c r="O507" s="874"/>
      <c r="P507" s="960"/>
      <c r="Q507" s="822"/>
      <c r="R507" s="961"/>
    </row>
    <row r="508" spans="1:18" s="444" customFormat="1" ht="59.25" customHeight="1">
      <c r="A508" s="672"/>
      <c r="B508" s="673"/>
      <c r="C508" s="965"/>
      <c r="D508" s="442"/>
      <c r="E508" s="969" t="s">
        <v>579</v>
      </c>
      <c r="F508" s="967"/>
      <c r="G508" s="967"/>
      <c r="H508" s="967">
        <v>4300</v>
      </c>
      <c r="I508" s="704"/>
      <c r="J508" s="704"/>
      <c r="K508" s="532"/>
      <c r="L508" s="967"/>
      <c r="M508" s="967"/>
      <c r="N508" s="968">
        <v>3543.55</v>
      </c>
      <c r="O508" s="874"/>
      <c r="P508" s="960"/>
      <c r="Q508" s="822"/>
      <c r="R508" s="961"/>
    </row>
    <row r="509" spans="1:18" s="444" customFormat="1" ht="84" customHeight="1">
      <c r="A509" s="672"/>
      <c r="B509" s="673"/>
      <c r="C509" s="965"/>
      <c r="D509" s="442"/>
      <c r="E509" s="966" t="s">
        <v>453</v>
      </c>
      <c r="F509" s="967"/>
      <c r="G509" s="967"/>
      <c r="H509" s="967">
        <v>0</v>
      </c>
      <c r="I509" s="704"/>
      <c r="J509" s="704"/>
      <c r="K509" s="532"/>
      <c r="L509" s="967"/>
      <c r="M509" s="967"/>
      <c r="N509" s="968">
        <v>0</v>
      </c>
      <c r="O509" s="874"/>
      <c r="P509" s="960"/>
      <c r="Q509" s="822"/>
      <c r="R509" s="961"/>
    </row>
    <row r="510" spans="1:18" s="444" customFormat="1" ht="62.25" customHeight="1">
      <c r="A510" s="672"/>
      <c r="B510" s="673"/>
      <c r="C510" s="965"/>
      <c r="D510" s="442"/>
      <c r="E510" s="966" t="s">
        <v>454</v>
      </c>
      <c r="F510" s="967"/>
      <c r="G510" s="967"/>
      <c r="H510" s="967">
        <v>0</v>
      </c>
      <c r="I510" s="704"/>
      <c r="J510" s="704"/>
      <c r="K510" s="532"/>
      <c r="L510" s="967"/>
      <c r="M510" s="967"/>
      <c r="N510" s="968">
        <v>0</v>
      </c>
      <c r="O510" s="874"/>
      <c r="P510" s="960"/>
      <c r="Q510" s="822"/>
      <c r="R510" s="961"/>
    </row>
    <row r="511" spans="1:18" s="444" customFormat="1" ht="54.75" customHeight="1">
      <c r="A511" s="672"/>
      <c r="B511" s="673"/>
      <c r="C511" s="965"/>
      <c r="D511" s="442"/>
      <c r="E511" s="966" t="s">
        <v>455</v>
      </c>
      <c r="F511" s="967"/>
      <c r="G511" s="967"/>
      <c r="H511" s="967">
        <v>0</v>
      </c>
      <c r="I511" s="704"/>
      <c r="J511" s="704"/>
      <c r="K511" s="532"/>
      <c r="L511" s="967"/>
      <c r="M511" s="967"/>
      <c r="N511" s="968">
        <v>3224.71</v>
      </c>
      <c r="O511" s="874"/>
      <c r="P511" s="960"/>
      <c r="Q511" s="822"/>
      <c r="R511" s="961"/>
    </row>
    <row r="512" spans="1:18" s="444" customFormat="1" ht="54.75" customHeight="1">
      <c r="A512" s="672"/>
      <c r="B512" s="673"/>
      <c r="C512" s="965"/>
      <c r="D512" s="442"/>
      <c r="E512" s="966" t="s">
        <v>456</v>
      </c>
      <c r="F512" s="967"/>
      <c r="G512" s="967"/>
      <c r="H512" s="967">
        <v>0</v>
      </c>
      <c r="I512" s="704"/>
      <c r="J512" s="704"/>
      <c r="K512" s="532"/>
      <c r="L512" s="967"/>
      <c r="M512" s="967"/>
      <c r="N512" s="968">
        <v>0</v>
      </c>
      <c r="O512" s="874"/>
      <c r="P512" s="960"/>
      <c r="Q512" s="822"/>
      <c r="R512" s="961"/>
    </row>
    <row r="513" spans="1:18" s="444" customFormat="1" ht="47.25" customHeight="1">
      <c r="A513" s="672"/>
      <c r="B513" s="673"/>
      <c r="C513" s="965"/>
      <c r="D513" s="442"/>
      <c r="E513" s="966" t="s">
        <v>457</v>
      </c>
      <c r="F513" s="967"/>
      <c r="G513" s="967"/>
      <c r="H513" s="967">
        <v>0</v>
      </c>
      <c r="I513" s="704"/>
      <c r="J513" s="704"/>
      <c r="K513" s="532"/>
      <c r="L513" s="967"/>
      <c r="M513" s="967"/>
      <c r="N513" s="968">
        <v>90</v>
      </c>
      <c r="O513" s="874"/>
      <c r="P513" s="960"/>
      <c r="Q513" s="822"/>
      <c r="R513" s="961"/>
    </row>
    <row r="514" spans="1:18" s="444" customFormat="1" ht="64.95" customHeight="1">
      <c r="A514" s="672"/>
      <c r="B514" s="673"/>
      <c r="C514" s="965"/>
      <c r="D514" s="442"/>
      <c r="E514" s="966" t="s">
        <v>458</v>
      </c>
      <c r="F514" s="967"/>
      <c r="G514" s="967"/>
      <c r="H514" s="967">
        <v>0</v>
      </c>
      <c r="I514" s="704"/>
      <c r="J514" s="704"/>
      <c r="K514" s="532"/>
      <c r="L514" s="967"/>
      <c r="M514" s="967"/>
      <c r="N514" s="968">
        <v>0</v>
      </c>
      <c r="O514" s="874"/>
      <c r="P514" s="960"/>
      <c r="Q514" s="822"/>
      <c r="R514" s="961"/>
    </row>
    <row r="515" spans="1:18" s="444" customFormat="1" ht="47.25" customHeight="1">
      <c r="A515" s="672"/>
      <c r="B515" s="673"/>
      <c r="C515" s="965"/>
      <c r="D515" s="442"/>
      <c r="E515" s="966" t="s">
        <v>459</v>
      </c>
      <c r="F515" s="970"/>
      <c r="G515" s="970"/>
      <c r="H515" s="967">
        <v>32231.32</v>
      </c>
      <c r="I515" s="704"/>
      <c r="J515" s="704"/>
      <c r="K515" s="532"/>
      <c r="L515" s="970"/>
      <c r="M515" s="970"/>
      <c r="N515" s="968">
        <v>27337.8</v>
      </c>
      <c r="O515" s="874"/>
      <c r="P515" s="960"/>
      <c r="Q515" s="822"/>
      <c r="R515" s="961"/>
    </row>
    <row r="516" spans="1:18" s="444" customFormat="1" ht="47.25" customHeight="1">
      <c r="A516" s="672"/>
      <c r="B516" s="673"/>
      <c r="C516" s="965"/>
      <c r="D516" s="442"/>
      <c r="E516" s="966" t="s">
        <v>460</v>
      </c>
      <c r="F516" s="970"/>
      <c r="G516" s="970"/>
      <c r="H516" s="967">
        <v>0</v>
      </c>
      <c r="I516" s="704"/>
      <c r="J516" s="704"/>
      <c r="K516" s="532"/>
      <c r="L516" s="970"/>
      <c r="M516" s="970"/>
      <c r="N516" s="968">
        <v>2539.29</v>
      </c>
      <c r="O516" s="874"/>
      <c r="P516" s="960"/>
      <c r="Q516" s="822"/>
      <c r="R516" s="961"/>
    </row>
    <row r="517" spans="1:18" s="444" customFormat="1" ht="47.25" customHeight="1">
      <c r="A517" s="672"/>
      <c r="B517" s="673"/>
      <c r="C517" s="965"/>
      <c r="D517" s="442"/>
      <c r="E517" s="966" t="s">
        <v>461</v>
      </c>
      <c r="F517" s="970"/>
      <c r="G517" s="970"/>
      <c r="H517" s="967">
        <v>692</v>
      </c>
      <c r="I517" s="704"/>
      <c r="J517" s="704"/>
      <c r="K517" s="532"/>
      <c r="L517" s="970"/>
      <c r="M517" s="970"/>
      <c r="N517" s="968">
        <v>901</v>
      </c>
      <c r="O517" s="874"/>
      <c r="P517" s="960"/>
      <c r="Q517" s="822"/>
      <c r="R517" s="961"/>
    </row>
    <row r="518" spans="1:18" s="444" customFormat="1" ht="47.25" customHeight="1">
      <c r="A518" s="672"/>
      <c r="B518" s="673"/>
      <c r="C518" s="965"/>
      <c r="D518" s="442"/>
      <c r="E518" s="966" t="s">
        <v>462</v>
      </c>
      <c r="F518" s="970"/>
      <c r="G518" s="970"/>
      <c r="H518" s="967">
        <v>35817</v>
      </c>
      <c r="I518" s="704"/>
      <c r="J518" s="704"/>
      <c r="K518" s="532"/>
      <c r="L518" s="970"/>
      <c r="M518" s="970"/>
      <c r="N518" s="968">
        <v>33747</v>
      </c>
      <c r="O518" s="874"/>
      <c r="P518" s="960"/>
      <c r="Q518" s="822"/>
      <c r="R518" s="961"/>
    </row>
    <row r="519" spans="1:18" s="444" customFormat="1" ht="47.25" customHeight="1">
      <c r="A519" s="672"/>
      <c r="B519" s="673"/>
      <c r="C519" s="965"/>
      <c r="D519" s="442"/>
      <c r="E519" s="966" t="s">
        <v>463</v>
      </c>
      <c r="F519" s="970"/>
      <c r="G519" s="970"/>
      <c r="H519" s="967">
        <v>0</v>
      </c>
      <c r="I519" s="704"/>
      <c r="J519" s="704"/>
      <c r="K519" s="532"/>
      <c r="L519" s="970"/>
      <c r="M519" s="970"/>
      <c r="N519" s="968">
        <v>0</v>
      </c>
      <c r="O519" s="874"/>
      <c r="P519" s="960"/>
      <c r="Q519" s="822"/>
      <c r="R519" s="961"/>
    </row>
    <row r="520" spans="1:18" s="444" customFormat="1" ht="61.95" customHeight="1">
      <c r="A520" s="672"/>
      <c r="B520" s="673"/>
      <c r="C520" s="965"/>
      <c r="D520" s="442"/>
      <c r="E520" s="966" t="s">
        <v>464</v>
      </c>
      <c r="F520" s="970"/>
      <c r="G520" s="970"/>
      <c r="H520" s="967">
        <v>0</v>
      </c>
      <c r="I520" s="704"/>
      <c r="J520" s="704"/>
      <c r="K520" s="532"/>
      <c r="L520" s="970"/>
      <c r="M520" s="970"/>
      <c r="N520" s="968">
        <v>665.93</v>
      </c>
      <c r="O520" s="874"/>
      <c r="P520" s="960"/>
      <c r="Q520" s="822"/>
      <c r="R520" s="961"/>
    </row>
    <row r="521" spans="1:18" s="444" customFormat="1" ht="47.25" customHeight="1">
      <c r="A521" s="672"/>
      <c r="B521" s="673"/>
      <c r="C521" s="965"/>
      <c r="D521" s="442"/>
      <c r="E521" s="966" t="s">
        <v>465</v>
      </c>
      <c r="F521" s="970"/>
      <c r="G521" s="970"/>
      <c r="H521" s="967">
        <v>0</v>
      </c>
      <c r="I521" s="704"/>
      <c r="J521" s="704"/>
      <c r="K521" s="532"/>
      <c r="L521" s="970"/>
      <c r="M521" s="970"/>
      <c r="N521" s="968">
        <v>0</v>
      </c>
      <c r="O521" s="874"/>
      <c r="P521" s="960"/>
      <c r="Q521" s="822"/>
      <c r="R521" s="961"/>
    </row>
    <row r="522" spans="1:18" s="444" customFormat="1" ht="47.25" customHeight="1">
      <c r="A522" s="672"/>
      <c r="B522" s="673"/>
      <c r="C522" s="965"/>
      <c r="D522" s="442"/>
      <c r="E522" s="966" t="s">
        <v>466</v>
      </c>
      <c r="F522" s="970"/>
      <c r="G522" s="970"/>
      <c r="H522" s="967">
        <v>0</v>
      </c>
      <c r="I522" s="704"/>
      <c r="J522" s="704"/>
      <c r="K522" s="532"/>
      <c r="L522" s="970"/>
      <c r="M522" s="970"/>
      <c r="N522" s="968">
        <v>0</v>
      </c>
      <c r="O522" s="874"/>
      <c r="P522" s="960"/>
      <c r="Q522" s="822"/>
      <c r="R522" s="961"/>
    </row>
    <row r="523" spans="1:18" s="444" customFormat="1" ht="47.25" customHeight="1">
      <c r="A523" s="672"/>
      <c r="B523" s="673"/>
      <c r="C523" s="454"/>
      <c r="D523" s="442"/>
      <c r="E523" s="966" t="s">
        <v>492</v>
      </c>
      <c r="F523" s="970"/>
      <c r="G523" s="970"/>
      <c r="H523" s="967">
        <v>1674.81</v>
      </c>
      <c r="I523" s="704"/>
      <c r="J523" s="704"/>
      <c r="K523" s="532"/>
      <c r="L523" s="970"/>
      <c r="M523" s="970"/>
      <c r="N523" s="968">
        <v>536.39</v>
      </c>
      <c r="O523" s="874"/>
      <c r="P523" s="960"/>
      <c r="Q523" s="822"/>
      <c r="R523" s="961"/>
    </row>
    <row r="524" spans="1:18" s="444" customFormat="1" ht="57" customHeight="1">
      <c r="A524" s="672"/>
      <c r="B524" s="673"/>
      <c r="C524" s="965"/>
      <c r="D524" s="442"/>
      <c r="E524" s="950" t="s">
        <v>467</v>
      </c>
      <c r="F524" s="955">
        <v>117300</v>
      </c>
      <c r="G524" s="955">
        <v>111778</v>
      </c>
      <c r="H524" s="955">
        <v>74715.13</v>
      </c>
      <c r="I524" s="704"/>
      <c r="J524" s="704"/>
      <c r="K524" s="532"/>
      <c r="L524" s="955">
        <v>0</v>
      </c>
      <c r="M524" s="955">
        <v>0</v>
      </c>
      <c r="N524" s="955">
        <v>0</v>
      </c>
      <c r="O524" s="932">
        <v>0</v>
      </c>
      <c r="P524" s="960" t="s">
        <v>286</v>
      </c>
      <c r="Q524" s="822"/>
      <c r="R524" s="961"/>
    </row>
    <row r="525" spans="1:18" s="439" customFormat="1" ht="62.25" customHeight="1">
      <c r="A525" s="437"/>
      <c r="B525" s="424"/>
      <c r="C525" s="458">
        <v>3</v>
      </c>
      <c r="D525" s="459"/>
      <c r="E525" s="183" t="s">
        <v>232</v>
      </c>
      <c r="F525" s="460"/>
      <c r="G525" s="484"/>
      <c r="H525" s="460"/>
      <c r="I525" s="484"/>
      <c r="J525" s="460"/>
      <c r="K525" s="474">
        <f>884000+37475+35000+14525+2000</f>
        <v>973000</v>
      </c>
      <c r="L525" s="457">
        <f>L526+L545+L567</f>
        <v>973000</v>
      </c>
      <c r="M525" s="457">
        <f t="shared" ref="M525:N525" si="114">M526+M545+M567</f>
        <v>973000</v>
      </c>
      <c r="N525" s="457">
        <f t="shared" si="114"/>
        <v>556754.85</v>
      </c>
      <c r="O525" s="877">
        <f>N525/M525</f>
        <v>0.57220436793422402</v>
      </c>
      <c r="P525" s="779" t="s">
        <v>286</v>
      </c>
    </row>
    <row r="526" spans="1:18" s="435" customFormat="1" ht="39.9" customHeight="1">
      <c r="A526" s="705"/>
      <c r="B526" s="949"/>
      <c r="C526" s="463"/>
      <c r="D526" s="448"/>
      <c r="E526" s="1023" t="s">
        <v>435</v>
      </c>
      <c r="F526" s="951"/>
      <c r="G526" s="952"/>
      <c r="H526" s="952"/>
      <c r="I526" s="952"/>
      <c r="J526" s="953"/>
      <c r="K526" s="954"/>
      <c r="L526" s="955">
        <v>884000</v>
      </c>
      <c r="M526" s="955">
        <v>881988</v>
      </c>
      <c r="N526" s="956">
        <f>SUM(N528:N544)</f>
        <v>479963.44999999995</v>
      </c>
      <c r="O526" s="932">
        <f>N526/M526</f>
        <v>0.54418365102473043</v>
      </c>
      <c r="P526" s="957" t="s">
        <v>286</v>
      </c>
      <c r="Q526" s="823"/>
      <c r="R526" s="958"/>
    </row>
    <row r="527" spans="1:18" s="444" customFormat="1" ht="34.5" customHeight="1">
      <c r="A527" s="672"/>
      <c r="B527" s="673"/>
      <c r="C527" s="454"/>
      <c r="D527" s="442"/>
      <c r="E527" s="1024" t="s">
        <v>16</v>
      </c>
      <c r="F527" s="703"/>
      <c r="G527" s="704"/>
      <c r="H527" s="704"/>
      <c r="I527" s="704"/>
      <c r="J527" s="704"/>
      <c r="K527" s="389"/>
      <c r="L527" s="666"/>
      <c r="M527" s="666"/>
      <c r="N527" s="666"/>
      <c r="O527" s="874"/>
      <c r="P527" s="960"/>
      <c r="Q527" s="822"/>
      <c r="R527" s="961"/>
    </row>
    <row r="528" spans="1:18" s="444" customFormat="1" ht="36" customHeight="1">
      <c r="A528" s="672"/>
      <c r="B528" s="673"/>
      <c r="C528" s="454"/>
      <c r="D528" s="429"/>
      <c r="E528" s="1025" t="s">
        <v>619</v>
      </c>
      <c r="F528" s="703"/>
      <c r="G528" s="704"/>
      <c r="H528" s="704"/>
      <c r="I528" s="704"/>
      <c r="J528" s="704"/>
      <c r="K528" s="389"/>
      <c r="L528" s="963"/>
      <c r="M528" s="963"/>
      <c r="N528" s="964">
        <v>233051.51999999999</v>
      </c>
      <c r="O528" s="874"/>
      <c r="P528" s="960"/>
      <c r="Q528" s="822"/>
      <c r="R528" s="961"/>
    </row>
    <row r="529" spans="1:18" s="444" customFormat="1" ht="67.95" customHeight="1">
      <c r="A529" s="672"/>
      <c r="B529" s="673"/>
      <c r="C529" s="454"/>
      <c r="D529" s="442"/>
      <c r="E529" s="1025" t="s">
        <v>469</v>
      </c>
      <c r="F529" s="703"/>
      <c r="G529" s="704"/>
      <c r="H529" s="704"/>
      <c r="I529" s="704"/>
      <c r="J529" s="704"/>
      <c r="K529" s="389"/>
      <c r="L529" s="963"/>
      <c r="M529" s="963"/>
      <c r="N529" s="964">
        <v>0</v>
      </c>
      <c r="O529" s="874"/>
      <c r="P529" s="960"/>
      <c r="Q529" s="822"/>
      <c r="R529" s="961"/>
    </row>
    <row r="530" spans="1:18" s="444" customFormat="1" ht="57" customHeight="1">
      <c r="A530" s="672"/>
      <c r="B530" s="673"/>
      <c r="C530" s="454"/>
      <c r="D530" s="442"/>
      <c r="E530" s="1025" t="s">
        <v>620</v>
      </c>
      <c r="F530" s="703"/>
      <c r="G530" s="704"/>
      <c r="H530" s="704"/>
      <c r="I530" s="704"/>
      <c r="J530" s="704"/>
      <c r="K530" s="389"/>
      <c r="L530" s="963"/>
      <c r="M530" s="963"/>
      <c r="N530" s="964">
        <v>1143.24</v>
      </c>
      <c r="O530" s="874"/>
      <c r="P530" s="960"/>
      <c r="Q530" s="822"/>
      <c r="R530" s="961"/>
    </row>
    <row r="531" spans="1:18" s="444" customFormat="1" ht="36" customHeight="1">
      <c r="A531" s="672"/>
      <c r="B531" s="673"/>
      <c r="C531" s="454"/>
      <c r="D531" s="442"/>
      <c r="E531" s="1025" t="s">
        <v>621</v>
      </c>
      <c r="F531" s="703"/>
      <c r="G531" s="704"/>
      <c r="H531" s="704"/>
      <c r="I531" s="704"/>
      <c r="J531" s="704"/>
      <c r="K531" s="389"/>
      <c r="L531" s="963"/>
      <c r="M531" s="963"/>
      <c r="N531" s="964">
        <v>11587.91</v>
      </c>
      <c r="O531" s="874"/>
      <c r="P531" s="960"/>
      <c r="Q531" s="822"/>
      <c r="R531" s="961"/>
    </row>
    <row r="532" spans="1:18" s="444" customFormat="1" ht="36" customHeight="1">
      <c r="A532" s="672"/>
      <c r="B532" s="673"/>
      <c r="C532" s="454"/>
      <c r="D532" s="442"/>
      <c r="E532" s="1025" t="s">
        <v>603</v>
      </c>
      <c r="F532" s="703"/>
      <c r="G532" s="704"/>
      <c r="H532" s="704"/>
      <c r="I532" s="704"/>
      <c r="J532" s="704"/>
      <c r="K532" s="389"/>
      <c r="L532" s="963"/>
      <c r="M532" s="963"/>
      <c r="N532" s="964">
        <v>0</v>
      </c>
      <c r="O532" s="874"/>
      <c r="P532" s="960"/>
      <c r="Q532" s="822"/>
      <c r="R532" s="961"/>
    </row>
    <row r="533" spans="1:18" s="444" customFormat="1" ht="36" customHeight="1">
      <c r="A533" s="672"/>
      <c r="B533" s="673"/>
      <c r="C533" s="454"/>
      <c r="D533" s="442"/>
      <c r="E533" s="1025" t="s">
        <v>437</v>
      </c>
      <c r="F533" s="703"/>
      <c r="G533" s="704"/>
      <c r="H533" s="704"/>
      <c r="I533" s="704"/>
      <c r="J533" s="704"/>
      <c r="K533" s="389"/>
      <c r="L533" s="963"/>
      <c r="M533" s="963"/>
      <c r="N533" s="964">
        <v>0</v>
      </c>
      <c r="O533" s="874"/>
      <c r="P533" s="960"/>
      <c r="Q533" s="822"/>
      <c r="R533" s="961"/>
    </row>
    <row r="534" spans="1:18" s="444" customFormat="1" ht="36" customHeight="1">
      <c r="A534" s="672"/>
      <c r="B534" s="673"/>
      <c r="C534" s="454"/>
      <c r="D534" s="442"/>
      <c r="E534" s="1025" t="s">
        <v>438</v>
      </c>
      <c r="F534" s="703"/>
      <c r="G534" s="704"/>
      <c r="H534" s="704"/>
      <c r="I534" s="704"/>
      <c r="J534" s="704"/>
      <c r="K534" s="389"/>
      <c r="L534" s="963"/>
      <c r="M534" s="963"/>
      <c r="N534" s="964">
        <v>0</v>
      </c>
      <c r="O534" s="874"/>
      <c r="P534" s="960"/>
      <c r="Q534" s="822"/>
      <c r="R534" s="961"/>
    </row>
    <row r="535" spans="1:18" s="444" customFormat="1" ht="36" customHeight="1">
      <c r="A535" s="672"/>
      <c r="B535" s="673"/>
      <c r="C535" s="454"/>
      <c r="D535" s="442"/>
      <c r="E535" s="1025" t="s">
        <v>503</v>
      </c>
      <c r="F535" s="703"/>
      <c r="G535" s="704"/>
      <c r="H535" s="704"/>
      <c r="I535" s="704"/>
      <c r="J535" s="704"/>
      <c r="K535" s="389"/>
      <c r="L535" s="963"/>
      <c r="M535" s="963"/>
      <c r="N535" s="964">
        <v>3131.79</v>
      </c>
      <c r="O535" s="874"/>
      <c r="P535" s="960"/>
      <c r="Q535" s="822"/>
      <c r="R535" s="961"/>
    </row>
    <row r="536" spans="1:18" s="444" customFormat="1" ht="36" customHeight="1">
      <c r="A536" s="672"/>
      <c r="B536" s="673"/>
      <c r="C536" s="454"/>
      <c r="D536" s="442"/>
      <c r="E536" s="1025" t="s">
        <v>439</v>
      </c>
      <c r="F536" s="703"/>
      <c r="G536" s="704"/>
      <c r="H536" s="704"/>
      <c r="I536" s="704"/>
      <c r="J536" s="704"/>
      <c r="K536" s="389"/>
      <c r="L536" s="963"/>
      <c r="M536" s="963"/>
      <c r="N536" s="964">
        <v>0</v>
      </c>
      <c r="O536" s="874"/>
      <c r="P536" s="960"/>
      <c r="Q536" s="822"/>
      <c r="R536" s="961"/>
    </row>
    <row r="537" spans="1:18" s="444" customFormat="1" ht="36" customHeight="1">
      <c r="A537" s="672"/>
      <c r="B537" s="673"/>
      <c r="C537" s="454"/>
      <c r="D537" s="442"/>
      <c r="E537" s="1025" t="s">
        <v>440</v>
      </c>
      <c r="F537" s="703"/>
      <c r="G537" s="704"/>
      <c r="H537" s="704"/>
      <c r="I537" s="704"/>
      <c r="J537" s="704"/>
      <c r="K537" s="389"/>
      <c r="L537" s="963"/>
      <c r="M537" s="963"/>
      <c r="N537" s="964">
        <v>0</v>
      </c>
      <c r="O537" s="874"/>
      <c r="P537" s="960"/>
      <c r="Q537" s="822"/>
      <c r="R537" s="961"/>
    </row>
    <row r="538" spans="1:18" s="444" customFormat="1" ht="36" customHeight="1">
      <c r="A538" s="672"/>
      <c r="B538" s="673"/>
      <c r="C538" s="454"/>
      <c r="D538" s="442"/>
      <c r="E538" s="1025" t="s">
        <v>441</v>
      </c>
      <c r="F538" s="703"/>
      <c r="G538" s="704"/>
      <c r="H538" s="704"/>
      <c r="I538" s="704"/>
      <c r="J538" s="704"/>
      <c r="K538" s="389"/>
      <c r="L538" s="963"/>
      <c r="M538" s="963"/>
      <c r="N538" s="964">
        <v>0</v>
      </c>
      <c r="O538" s="874"/>
      <c r="P538" s="960"/>
      <c r="Q538" s="822"/>
      <c r="R538" s="961"/>
    </row>
    <row r="539" spans="1:18" s="444" customFormat="1" ht="57" customHeight="1">
      <c r="A539" s="672"/>
      <c r="B539" s="673"/>
      <c r="C539" s="454"/>
      <c r="D539" s="442"/>
      <c r="E539" s="1025" t="s">
        <v>622</v>
      </c>
      <c r="F539" s="703"/>
      <c r="G539" s="704"/>
      <c r="H539" s="704"/>
      <c r="I539" s="704"/>
      <c r="J539" s="704"/>
      <c r="K539" s="389"/>
      <c r="L539" s="963"/>
      <c r="M539" s="963"/>
      <c r="N539" s="964">
        <v>102112.38</v>
      </c>
      <c r="O539" s="874"/>
      <c r="P539" s="960"/>
      <c r="Q539" s="822"/>
      <c r="R539" s="961"/>
    </row>
    <row r="540" spans="1:18" s="444" customFormat="1" ht="36" customHeight="1">
      <c r="A540" s="672"/>
      <c r="B540" s="673"/>
      <c r="C540" s="454"/>
      <c r="D540" s="442"/>
      <c r="E540" s="1025" t="s">
        <v>442</v>
      </c>
      <c r="F540" s="703"/>
      <c r="G540" s="704"/>
      <c r="H540" s="704"/>
      <c r="I540" s="704"/>
      <c r="J540" s="704"/>
      <c r="K540" s="389"/>
      <c r="L540" s="963"/>
      <c r="M540" s="963"/>
      <c r="N540" s="964">
        <v>0</v>
      </c>
      <c r="O540" s="874"/>
      <c r="P540" s="960"/>
      <c r="Q540" s="822"/>
      <c r="R540" s="961"/>
    </row>
    <row r="541" spans="1:18" s="444" customFormat="1" ht="36" customHeight="1">
      <c r="A541" s="672"/>
      <c r="B541" s="673"/>
      <c r="C541" s="454"/>
      <c r="D541" s="442"/>
      <c r="E541" s="1025" t="s">
        <v>443</v>
      </c>
      <c r="F541" s="703"/>
      <c r="G541" s="704"/>
      <c r="H541" s="704"/>
      <c r="I541" s="704"/>
      <c r="J541" s="704"/>
      <c r="K541" s="389"/>
      <c r="L541" s="963"/>
      <c r="M541" s="963"/>
      <c r="N541" s="964">
        <v>48283.3</v>
      </c>
      <c r="O541" s="874"/>
      <c r="P541" s="960"/>
      <c r="Q541" s="822"/>
      <c r="R541" s="961"/>
    </row>
    <row r="542" spans="1:18" s="444" customFormat="1" ht="36" customHeight="1">
      <c r="A542" s="672"/>
      <c r="B542" s="673"/>
      <c r="C542" s="454"/>
      <c r="D542" s="442"/>
      <c r="E542" s="1025" t="s">
        <v>490</v>
      </c>
      <c r="F542" s="703"/>
      <c r="G542" s="704"/>
      <c r="H542" s="704"/>
      <c r="I542" s="704"/>
      <c r="J542" s="704"/>
      <c r="K542" s="389"/>
      <c r="L542" s="963"/>
      <c r="M542" s="963"/>
      <c r="N542" s="964">
        <v>0</v>
      </c>
      <c r="O542" s="874"/>
      <c r="P542" s="960"/>
      <c r="Q542" s="822"/>
      <c r="R542" s="961"/>
    </row>
    <row r="543" spans="1:18" s="444" customFormat="1" ht="55.5" customHeight="1">
      <c r="A543" s="672"/>
      <c r="B543" s="673"/>
      <c r="C543" s="454"/>
      <c r="D543" s="442"/>
      <c r="E543" s="1025" t="s">
        <v>623</v>
      </c>
      <c r="F543" s="703"/>
      <c r="G543" s="704"/>
      <c r="H543" s="704"/>
      <c r="I543" s="704"/>
      <c r="J543" s="704"/>
      <c r="K543" s="389"/>
      <c r="L543" s="963"/>
      <c r="M543" s="963"/>
      <c r="N543" s="964">
        <v>286.83999999999997</v>
      </c>
      <c r="O543" s="874"/>
      <c r="P543" s="960"/>
      <c r="Q543" s="822"/>
      <c r="R543" s="961"/>
    </row>
    <row r="544" spans="1:18" s="444" customFormat="1" ht="36" customHeight="1">
      <c r="A544" s="672"/>
      <c r="B544" s="673"/>
      <c r="C544" s="454"/>
      <c r="D544" s="442"/>
      <c r="E544" s="1025" t="s">
        <v>445</v>
      </c>
      <c r="F544" s="703"/>
      <c r="G544" s="704"/>
      <c r="H544" s="704"/>
      <c r="I544" s="704"/>
      <c r="J544" s="704"/>
      <c r="K544" s="389"/>
      <c r="L544" s="963"/>
      <c r="M544" s="963"/>
      <c r="N544" s="964">
        <v>80366.47</v>
      </c>
      <c r="O544" s="874"/>
      <c r="P544" s="960"/>
      <c r="Q544" s="822"/>
      <c r="R544" s="961"/>
    </row>
    <row r="545" spans="1:18" s="444" customFormat="1" ht="48.75" customHeight="1">
      <c r="A545" s="672"/>
      <c r="B545" s="673"/>
      <c r="C545" s="965"/>
      <c r="D545" s="442"/>
      <c r="E545" s="1026" t="s">
        <v>446</v>
      </c>
      <c r="F545" s="955">
        <v>117300</v>
      </c>
      <c r="G545" s="955">
        <v>111778</v>
      </c>
      <c r="H545" s="955">
        <v>74715.13</v>
      </c>
      <c r="I545" s="704"/>
      <c r="J545" s="704"/>
      <c r="K545" s="532"/>
      <c r="L545" s="955">
        <v>89000</v>
      </c>
      <c r="M545" s="955">
        <v>91012</v>
      </c>
      <c r="N545" s="956">
        <f>SUM(N546:N566)</f>
        <v>76791.399999999994</v>
      </c>
      <c r="O545" s="932">
        <f>N545/M545</f>
        <v>0.84375027468905195</v>
      </c>
      <c r="P545" s="960" t="s">
        <v>286</v>
      </c>
      <c r="Q545" s="822"/>
      <c r="R545" s="961"/>
    </row>
    <row r="546" spans="1:18" s="444" customFormat="1" ht="78" customHeight="1">
      <c r="A546" s="672"/>
      <c r="B546" s="673"/>
      <c r="C546" s="965"/>
      <c r="D546" s="442"/>
      <c r="E546" s="1027" t="s">
        <v>447</v>
      </c>
      <c r="F546" s="967"/>
      <c r="G546" s="967"/>
      <c r="H546" s="967">
        <v>0</v>
      </c>
      <c r="I546" s="704"/>
      <c r="J546" s="704"/>
      <c r="K546" s="532"/>
      <c r="L546" s="967"/>
      <c r="M546" s="967"/>
      <c r="N546" s="968">
        <v>1717.4</v>
      </c>
      <c r="O546" s="874"/>
      <c r="P546" s="960"/>
      <c r="Q546" s="822"/>
      <c r="R546" s="961"/>
    </row>
    <row r="547" spans="1:18" s="444" customFormat="1" ht="36" customHeight="1">
      <c r="A547" s="672"/>
      <c r="B547" s="673"/>
      <c r="C547" s="965"/>
      <c r="D547" s="442"/>
      <c r="E547" s="1027" t="s">
        <v>448</v>
      </c>
      <c r="F547" s="967"/>
      <c r="G547" s="967"/>
      <c r="H547" s="967">
        <v>0</v>
      </c>
      <c r="I547" s="704"/>
      <c r="J547" s="704"/>
      <c r="K547" s="532"/>
      <c r="L547" s="967"/>
      <c r="M547" s="967"/>
      <c r="N547" s="968">
        <v>0</v>
      </c>
      <c r="O547" s="874"/>
      <c r="P547" s="960"/>
      <c r="Q547" s="822"/>
      <c r="R547" s="961"/>
    </row>
    <row r="548" spans="1:18" s="444" customFormat="1" ht="36" customHeight="1">
      <c r="A548" s="672"/>
      <c r="B548" s="673"/>
      <c r="C548" s="965"/>
      <c r="D548" s="442"/>
      <c r="E548" s="1027" t="s">
        <v>449</v>
      </c>
      <c r="F548" s="967"/>
      <c r="G548" s="967"/>
      <c r="H548" s="967">
        <v>0</v>
      </c>
      <c r="I548" s="704"/>
      <c r="J548" s="704"/>
      <c r="K548" s="532"/>
      <c r="L548" s="967"/>
      <c r="M548" s="967"/>
      <c r="N548" s="968">
        <v>0</v>
      </c>
      <c r="O548" s="874"/>
      <c r="P548" s="960"/>
      <c r="Q548" s="822"/>
      <c r="R548" s="961"/>
    </row>
    <row r="549" spans="1:18" s="444" customFormat="1" ht="36" customHeight="1">
      <c r="A549" s="672"/>
      <c r="B549" s="673"/>
      <c r="C549" s="965"/>
      <c r="D549" s="442"/>
      <c r="E549" s="1027" t="s">
        <v>450</v>
      </c>
      <c r="F549" s="967"/>
      <c r="G549" s="967"/>
      <c r="H549" s="967">
        <v>0</v>
      </c>
      <c r="I549" s="704"/>
      <c r="J549" s="704"/>
      <c r="K549" s="532"/>
      <c r="L549" s="967"/>
      <c r="M549" s="967"/>
      <c r="N549" s="968">
        <v>0</v>
      </c>
      <c r="O549" s="874"/>
      <c r="P549" s="960"/>
      <c r="Q549" s="822"/>
      <c r="R549" s="961"/>
    </row>
    <row r="550" spans="1:18" s="444" customFormat="1" ht="36" customHeight="1">
      <c r="A550" s="672"/>
      <c r="B550" s="673"/>
      <c r="C550" s="965"/>
      <c r="D550" s="442"/>
      <c r="E550" s="1027" t="s">
        <v>451</v>
      </c>
      <c r="F550" s="967"/>
      <c r="G550" s="967"/>
      <c r="H550" s="967">
        <v>0</v>
      </c>
      <c r="I550" s="704"/>
      <c r="J550" s="704"/>
      <c r="K550" s="532"/>
      <c r="L550" s="967"/>
      <c r="M550" s="967"/>
      <c r="N550" s="968">
        <v>0</v>
      </c>
      <c r="O550" s="874"/>
      <c r="P550" s="960"/>
      <c r="Q550" s="822"/>
      <c r="R550" s="961"/>
    </row>
    <row r="551" spans="1:18" s="444" customFormat="1" ht="39.75" customHeight="1">
      <c r="A551" s="672"/>
      <c r="B551" s="673"/>
      <c r="C551" s="965"/>
      <c r="D551" s="442"/>
      <c r="E551" s="1028" t="s">
        <v>491</v>
      </c>
      <c r="F551" s="967"/>
      <c r="G551" s="967"/>
      <c r="H551" s="967">
        <v>4300</v>
      </c>
      <c r="I551" s="704"/>
      <c r="J551" s="704"/>
      <c r="K551" s="532"/>
      <c r="L551" s="967"/>
      <c r="M551" s="967"/>
      <c r="N551" s="968">
        <v>0</v>
      </c>
      <c r="O551" s="874"/>
      <c r="P551" s="960"/>
      <c r="Q551" s="822"/>
      <c r="R551" s="961"/>
    </row>
    <row r="552" spans="1:18" s="444" customFormat="1" ht="84" customHeight="1">
      <c r="A552" s="672"/>
      <c r="B552" s="673"/>
      <c r="C552" s="965"/>
      <c r="D552" s="442"/>
      <c r="E552" s="1027" t="s">
        <v>453</v>
      </c>
      <c r="F552" s="967"/>
      <c r="G552" s="967"/>
      <c r="H552" s="967">
        <v>0</v>
      </c>
      <c r="I552" s="704"/>
      <c r="J552" s="704"/>
      <c r="K552" s="532"/>
      <c r="L552" s="967"/>
      <c r="M552" s="967"/>
      <c r="N552" s="968">
        <v>0</v>
      </c>
      <c r="O552" s="874"/>
      <c r="P552" s="960"/>
      <c r="Q552" s="822"/>
      <c r="R552" s="961"/>
    </row>
    <row r="553" spans="1:18" s="444" customFormat="1" ht="61.95" customHeight="1">
      <c r="A553" s="672"/>
      <c r="B553" s="673"/>
      <c r="C553" s="965"/>
      <c r="D553" s="442"/>
      <c r="E553" s="1027" t="s">
        <v>454</v>
      </c>
      <c r="F553" s="967"/>
      <c r="G553" s="967"/>
      <c r="H553" s="967">
        <v>0</v>
      </c>
      <c r="I553" s="704"/>
      <c r="J553" s="704"/>
      <c r="K553" s="532"/>
      <c r="L553" s="967"/>
      <c r="M553" s="967"/>
      <c r="N553" s="968">
        <v>0</v>
      </c>
      <c r="O553" s="874"/>
      <c r="P553" s="960"/>
      <c r="Q553" s="822"/>
      <c r="R553" s="961"/>
    </row>
    <row r="554" spans="1:18" s="444" customFormat="1" ht="37.5" customHeight="1">
      <c r="A554" s="672"/>
      <c r="B554" s="673"/>
      <c r="C554" s="965"/>
      <c r="D554" s="442"/>
      <c r="E554" s="1027" t="s">
        <v>455</v>
      </c>
      <c r="F554" s="967"/>
      <c r="G554" s="967"/>
      <c r="H554" s="967">
        <v>0</v>
      </c>
      <c r="I554" s="704"/>
      <c r="J554" s="704"/>
      <c r="K554" s="532"/>
      <c r="L554" s="967"/>
      <c r="M554" s="967"/>
      <c r="N554" s="968">
        <v>1331.34</v>
      </c>
      <c r="O554" s="874"/>
      <c r="P554" s="960"/>
      <c r="Q554" s="822"/>
      <c r="R554" s="961"/>
    </row>
    <row r="555" spans="1:18" s="444" customFormat="1" ht="54.75" customHeight="1">
      <c r="A555" s="672"/>
      <c r="B555" s="673"/>
      <c r="C555" s="965"/>
      <c r="D555" s="442"/>
      <c r="E555" s="1027" t="s">
        <v>456</v>
      </c>
      <c r="F555" s="967"/>
      <c r="G555" s="967"/>
      <c r="H555" s="967">
        <v>0</v>
      </c>
      <c r="I555" s="704"/>
      <c r="J555" s="704"/>
      <c r="K555" s="532"/>
      <c r="L555" s="967"/>
      <c r="M555" s="967"/>
      <c r="N555" s="968">
        <v>0</v>
      </c>
      <c r="O555" s="874"/>
      <c r="P555" s="960"/>
      <c r="Q555" s="822"/>
      <c r="R555" s="961"/>
    </row>
    <row r="556" spans="1:18" s="444" customFormat="1" ht="41.25" customHeight="1">
      <c r="A556" s="672"/>
      <c r="B556" s="673"/>
      <c r="C556" s="965"/>
      <c r="D556" s="442"/>
      <c r="E556" s="1027" t="s">
        <v>457</v>
      </c>
      <c r="F556" s="967"/>
      <c r="G556" s="967"/>
      <c r="H556" s="967">
        <v>0</v>
      </c>
      <c r="I556" s="704"/>
      <c r="J556" s="704"/>
      <c r="K556" s="532"/>
      <c r="L556" s="967"/>
      <c r="M556" s="967"/>
      <c r="N556" s="968">
        <v>497.82</v>
      </c>
      <c r="O556" s="874"/>
      <c r="P556" s="960"/>
      <c r="Q556" s="822"/>
      <c r="R556" s="961"/>
    </row>
    <row r="557" spans="1:18" s="444" customFormat="1" ht="61.95" customHeight="1">
      <c r="A557" s="672"/>
      <c r="B557" s="673"/>
      <c r="C557" s="965"/>
      <c r="D557" s="442"/>
      <c r="E557" s="1027" t="s">
        <v>458</v>
      </c>
      <c r="F557" s="967"/>
      <c r="G557" s="967"/>
      <c r="H557" s="967">
        <v>0</v>
      </c>
      <c r="I557" s="704"/>
      <c r="J557" s="704"/>
      <c r="K557" s="532"/>
      <c r="L557" s="967"/>
      <c r="M557" s="967"/>
      <c r="N557" s="968">
        <v>0</v>
      </c>
      <c r="O557" s="874"/>
      <c r="P557" s="960"/>
      <c r="Q557" s="822"/>
      <c r="R557" s="961"/>
    </row>
    <row r="558" spans="1:18" s="444" customFormat="1" ht="39" customHeight="1">
      <c r="A558" s="672"/>
      <c r="B558" s="673"/>
      <c r="C558" s="965"/>
      <c r="D558" s="442"/>
      <c r="E558" s="1027" t="s">
        <v>459</v>
      </c>
      <c r="F558" s="970"/>
      <c r="G558" s="970"/>
      <c r="H558" s="967">
        <v>32231.32</v>
      </c>
      <c r="I558" s="704"/>
      <c r="J558" s="704"/>
      <c r="K558" s="532"/>
      <c r="L558" s="970"/>
      <c r="M558" s="970"/>
      <c r="N558" s="968">
        <v>39456.21</v>
      </c>
      <c r="O558" s="874"/>
      <c r="P558" s="960"/>
      <c r="Q558" s="822"/>
      <c r="R558" s="961"/>
    </row>
    <row r="559" spans="1:18" s="444" customFormat="1" ht="39" customHeight="1">
      <c r="A559" s="672"/>
      <c r="B559" s="673"/>
      <c r="C559" s="965"/>
      <c r="D559" s="442"/>
      <c r="E559" s="1027" t="s">
        <v>460</v>
      </c>
      <c r="F559" s="970"/>
      <c r="G559" s="970"/>
      <c r="H559" s="967">
        <v>0</v>
      </c>
      <c r="I559" s="704"/>
      <c r="J559" s="704"/>
      <c r="K559" s="532"/>
      <c r="L559" s="970"/>
      <c r="M559" s="970"/>
      <c r="N559" s="968">
        <v>2906.75</v>
      </c>
      <c r="O559" s="874"/>
      <c r="P559" s="960"/>
      <c r="Q559" s="822"/>
      <c r="R559" s="961"/>
    </row>
    <row r="560" spans="1:18" s="444" customFormat="1" ht="39" customHeight="1">
      <c r="A560" s="672"/>
      <c r="B560" s="673"/>
      <c r="C560" s="965"/>
      <c r="D560" s="442"/>
      <c r="E560" s="1027" t="s">
        <v>461</v>
      </c>
      <c r="F560" s="970"/>
      <c r="G560" s="970"/>
      <c r="H560" s="967">
        <v>692</v>
      </c>
      <c r="I560" s="704"/>
      <c r="J560" s="704"/>
      <c r="K560" s="532"/>
      <c r="L560" s="970"/>
      <c r="M560" s="970"/>
      <c r="N560" s="968">
        <v>0</v>
      </c>
      <c r="O560" s="874"/>
      <c r="P560" s="960"/>
      <c r="Q560" s="822"/>
      <c r="R560" s="961"/>
    </row>
    <row r="561" spans="1:18" s="444" customFormat="1" ht="39" customHeight="1">
      <c r="A561" s="672"/>
      <c r="B561" s="673"/>
      <c r="C561" s="965"/>
      <c r="D561" s="442"/>
      <c r="E561" s="1027" t="s">
        <v>462</v>
      </c>
      <c r="F561" s="970"/>
      <c r="G561" s="970"/>
      <c r="H561" s="967">
        <v>35817</v>
      </c>
      <c r="I561" s="704"/>
      <c r="J561" s="704"/>
      <c r="K561" s="532"/>
      <c r="L561" s="970"/>
      <c r="M561" s="970"/>
      <c r="N561" s="968">
        <v>30000</v>
      </c>
      <c r="O561" s="874"/>
      <c r="P561" s="960"/>
      <c r="Q561" s="822"/>
      <c r="R561" s="961"/>
    </row>
    <row r="562" spans="1:18" s="444" customFormat="1" ht="39" customHeight="1">
      <c r="A562" s="672"/>
      <c r="B562" s="673"/>
      <c r="C562" s="965"/>
      <c r="D562" s="442"/>
      <c r="E562" s="1027" t="s">
        <v>463</v>
      </c>
      <c r="F562" s="970"/>
      <c r="G562" s="970"/>
      <c r="H562" s="967">
        <v>0</v>
      </c>
      <c r="I562" s="704"/>
      <c r="J562" s="704"/>
      <c r="K562" s="532"/>
      <c r="L562" s="970"/>
      <c r="M562" s="970"/>
      <c r="N562" s="968">
        <v>0</v>
      </c>
      <c r="O562" s="874"/>
      <c r="P562" s="960"/>
      <c r="Q562" s="822"/>
      <c r="R562" s="961"/>
    </row>
    <row r="563" spans="1:18" s="444" customFormat="1" ht="50.25" customHeight="1">
      <c r="A563" s="672"/>
      <c r="B563" s="673"/>
      <c r="C563" s="965"/>
      <c r="D563" s="442"/>
      <c r="E563" s="1027" t="s">
        <v>464</v>
      </c>
      <c r="F563" s="970"/>
      <c r="G563" s="970"/>
      <c r="H563" s="967">
        <v>0</v>
      </c>
      <c r="I563" s="704"/>
      <c r="J563" s="704"/>
      <c r="K563" s="532"/>
      <c r="L563" s="970"/>
      <c r="M563" s="970"/>
      <c r="N563" s="968">
        <v>143.82</v>
      </c>
      <c r="O563" s="874"/>
      <c r="P563" s="960"/>
      <c r="Q563" s="822"/>
      <c r="R563" s="961"/>
    </row>
    <row r="564" spans="1:18" s="444" customFormat="1" ht="39" customHeight="1">
      <c r="A564" s="672"/>
      <c r="B564" s="673"/>
      <c r="C564" s="965"/>
      <c r="D564" s="442"/>
      <c r="E564" s="1027" t="s">
        <v>465</v>
      </c>
      <c r="F564" s="970"/>
      <c r="G564" s="970"/>
      <c r="H564" s="967">
        <v>0</v>
      </c>
      <c r="I564" s="704"/>
      <c r="J564" s="704"/>
      <c r="K564" s="532"/>
      <c r="L564" s="970"/>
      <c r="M564" s="970"/>
      <c r="N564" s="968">
        <v>0</v>
      </c>
      <c r="O564" s="874"/>
      <c r="P564" s="960"/>
      <c r="Q564" s="822"/>
      <c r="R564" s="961"/>
    </row>
    <row r="565" spans="1:18" s="444" customFormat="1" ht="39" customHeight="1">
      <c r="A565" s="672"/>
      <c r="B565" s="673"/>
      <c r="C565" s="965"/>
      <c r="D565" s="442"/>
      <c r="E565" s="1027" t="s">
        <v>466</v>
      </c>
      <c r="F565" s="970"/>
      <c r="G565" s="970"/>
      <c r="H565" s="967">
        <v>0</v>
      </c>
      <c r="I565" s="704"/>
      <c r="J565" s="704"/>
      <c r="K565" s="532"/>
      <c r="L565" s="970"/>
      <c r="M565" s="970"/>
      <c r="N565" s="968">
        <v>0</v>
      </c>
      <c r="O565" s="874"/>
      <c r="P565" s="960"/>
      <c r="Q565" s="822"/>
      <c r="R565" s="961"/>
    </row>
    <row r="566" spans="1:18" s="444" customFormat="1" ht="39" customHeight="1">
      <c r="A566" s="672"/>
      <c r="B566" s="673"/>
      <c r="C566" s="454"/>
      <c r="D566" s="442"/>
      <c r="E566" s="1027" t="s">
        <v>492</v>
      </c>
      <c r="F566" s="970"/>
      <c r="G566" s="970"/>
      <c r="H566" s="967">
        <v>1674.81</v>
      </c>
      <c r="I566" s="704"/>
      <c r="J566" s="704"/>
      <c r="K566" s="532"/>
      <c r="L566" s="970"/>
      <c r="M566" s="970"/>
      <c r="N566" s="968">
        <v>738.06</v>
      </c>
      <c r="O566" s="874"/>
      <c r="P566" s="960"/>
      <c r="Q566" s="822"/>
      <c r="R566" s="961"/>
    </row>
    <row r="567" spans="1:18" s="444" customFormat="1" ht="57" customHeight="1">
      <c r="A567" s="672"/>
      <c r="B567" s="673"/>
      <c r="C567" s="965"/>
      <c r="D567" s="442"/>
      <c r="E567" s="1026" t="s">
        <v>467</v>
      </c>
      <c r="F567" s="955">
        <v>117300</v>
      </c>
      <c r="G567" s="955">
        <v>111778</v>
      </c>
      <c r="H567" s="955">
        <v>74715.13</v>
      </c>
      <c r="I567" s="704"/>
      <c r="J567" s="704"/>
      <c r="K567" s="532"/>
      <c r="L567" s="955">
        <v>0</v>
      </c>
      <c r="M567" s="955">
        <v>0</v>
      </c>
      <c r="N567" s="955">
        <v>0</v>
      </c>
      <c r="O567" s="932">
        <v>0</v>
      </c>
      <c r="P567" s="960" t="s">
        <v>286</v>
      </c>
      <c r="Q567" s="822"/>
      <c r="R567" s="961"/>
    </row>
    <row r="568" spans="1:18" s="444" customFormat="1" ht="97.8" customHeight="1">
      <c r="A568" s="428"/>
      <c r="B568" s="441"/>
      <c r="C568" s="565">
        <v>4</v>
      </c>
      <c r="D568" s="621"/>
      <c r="E568" s="606" t="s">
        <v>273</v>
      </c>
      <c r="F568" s="622"/>
      <c r="G568" s="623"/>
      <c r="H568" s="623"/>
      <c r="I568" s="623"/>
      <c r="J568" s="623"/>
      <c r="K568" s="567">
        <v>60000</v>
      </c>
      <c r="L568" s="567">
        <f t="shared" ref="L568:L569" si="115">SUM(F568:K568)</f>
        <v>60000</v>
      </c>
      <c r="M568" s="567">
        <v>60000</v>
      </c>
      <c r="N568" s="567">
        <v>0</v>
      </c>
      <c r="O568" s="875">
        <v>0</v>
      </c>
      <c r="P568" s="767" t="s">
        <v>286</v>
      </c>
    </row>
    <row r="569" spans="1:18" s="438" customFormat="1" ht="90" customHeight="1">
      <c r="A569" s="558"/>
      <c r="B569" s="64"/>
      <c r="C569" s="458">
        <v>5</v>
      </c>
      <c r="D569" s="459"/>
      <c r="E569" s="561" t="s">
        <v>274</v>
      </c>
      <c r="F569" s="525"/>
      <c r="G569" s="278"/>
      <c r="H569" s="278"/>
      <c r="I569" s="278"/>
      <c r="J569" s="278"/>
      <c r="K569" s="456">
        <v>20000</v>
      </c>
      <c r="L569" s="456">
        <f t="shared" si="115"/>
        <v>20000</v>
      </c>
      <c r="M569" s="456">
        <v>20000</v>
      </c>
      <c r="N569" s="456">
        <v>0</v>
      </c>
      <c r="O569" s="871">
        <v>0</v>
      </c>
      <c r="P569" s="761" t="s">
        <v>286</v>
      </c>
    </row>
    <row r="570" spans="1:18" s="79" customFormat="1" ht="53.25" customHeight="1">
      <c r="A570" s="573"/>
      <c r="B570" s="78">
        <v>80104</v>
      </c>
      <c r="C570" s="77"/>
      <c r="D570" s="76"/>
      <c r="E570" s="75" t="s">
        <v>60</v>
      </c>
      <c r="F570" s="414">
        <f>F571</f>
        <v>0</v>
      </c>
      <c r="G570" s="414">
        <f>G571</f>
        <v>0</v>
      </c>
      <c r="H570" s="414">
        <f>H571</f>
        <v>0</v>
      </c>
      <c r="I570" s="414">
        <f>I571</f>
        <v>0</v>
      </c>
      <c r="J570" s="414">
        <f>J571</f>
        <v>0</v>
      </c>
      <c r="K570" s="414">
        <f>K571+K744+K747+K748+K745+K746</f>
        <v>9209000</v>
      </c>
      <c r="L570" s="95">
        <f>L571+L744+L747+L748+L745+L746</f>
        <v>9209000</v>
      </c>
      <c r="M570" s="95">
        <f>M571+M744+M745+M746+M747+M748</f>
        <v>9210606</v>
      </c>
      <c r="N570" s="95">
        <f>N571+N744+N745+N746+N747+N748</f>
        <v>4481022.290000001</v>
      </c>
      <c r="O570" s="868">
        <f>N570/M570</f>
        <v>0.486506782507036</v>
      </c>
      <c r="P570" s="760" t="s">
        <v>286</v>
      </c>
    </row>
    <row r="571" spans="1:18" s="285" customFormat="1" ht="50.1" customHeight="1">
      <c r="A571" s="437"/>
      <c r="B571" s="123"/>
      <c r="C571" s="63" t="s">
        <v>24</v>
      </c>
      <c r="D571" s="96"/>
      <c r="E571" s="99" t="s">
        <v>59</v>
      </c>
      <c r="F571" s="192"/>
      <c r="G571" s="436"/>
      <c r="H571" s="436"/>
      <c r="I571" s="436"/>
      <c r="J571" s="436"/>
      <c r="K571" s="436">
        <f>K572+K615+K658+K701</f>
        <v>7652000</v>
      </c>
      <c r="L571" s="436">
        <f>SUM(F571:K571)</f>
        <v>7652000</v>
      </c>
      <c r="M571" s="436">
        <f>M572+M615+M658+M701</f>
        <v>7653606</v>
      </c>
      <c r="N571" s="436">
        <f>N572+N615+N658+N701</f>
        <v>3601754.95</v>
      </c>
      <c r="O571" s="908">
        <f>N571/M571</f>
        <v>0.47059581457420202</v>
      </c>
      <c r="P571" s="779" t="s">
        <v>286</v>
      </c>
    </row>
    <row r="572" spans="1:18" s="269" customFormat="1" ht="50.1" customHeight="1">
      <c r="A572" s="558"/>
      <c r="B572" s="64"/>
      <c r="C572" s="399">
        <v>1</v>
      </c>
      <c r="D572" s="429"/>
      <c r="E572" s="537" t="s">
        <v>51</v>
      </c>
      <c r="F572" s="426"/>
      <c r="G572" s="426"/>
      <c r="H572" s="426"/>
      <c r="I572" s="426"/>
      <c r="J572" s="426"/>
      <c r="K572" s="432">
        <f>1249000+5400+1000+60000+53900+60200+3500</f>
        <v>1433000</v>
      </c>
      <c r="L572" s="432">
        <f>SUM(F572:K572)</f>
        <v>1433000</v>
      </c>
      <c r="M572" s="432">
        <v>1433919</v>
      </c>
      <c r="N572" s="432">
        <f>N573+N592+N614</f>
        <v>678551.2699999999</v>
      </c>
      <c r="O572" s="914">
        <f>N572/M572</f>
        <v>0.47321450514289853</v>
      </c>
      <c r="P572" s="761" t="s">
        <v>286</v>
      </c>
    </row>
    <row r="573" spans="1:18" s="435" customFormat="1" ht="39.9" customHeight="1">
      <c r="A573" s="705"/>
      <c r="B573" s="949"/>
      <c r="C573" s="463"/>
      <c r="D573" s="448"/>
      <c r="E573" s="950" t="s">
        <v>435</v>
      </c>
      <c r="F573" s="951"/>
      <c r="G573" s="952"/>
      <c r="H573" s="952"/>
      <c r="I573" s="952"/>
      <c r="J573" s="953"/>
      <c r="K573" s="954"/>
      <c r="L573" s="955">
        <v>1254400</v>
      </c>
      <c r="M573" s="955">
        <v>1249897</v>
      </c>
      <c r="N573" s="956">
        <f>SUM(N575:N591)</f>
        <v>585698.92999999993</v>
      </c>
      <c r="O573" s="932">
        <f>N573/M573</f>
        <v>0.46859775645513185</v>
      </c>
      <c r="P573" s="776" t="s">
        <v>286</v>
      </c>
      <c r="Q573" s="958"/>
    </row>
    <row r="574" spans="1:18" s="444" customFormat="1" ht="34.5" customHeight="1">
      <c r="A574" s="672"/>
      <c r="B574" s="673"/>
      <c r="C574" s="454"/>
      <c r="D574" s="442"/>
      <c r="E574" s="959" t="s">
        <v>16</v>
      </c>
      <c r="F574" s="703"/>
      <c r="G574" s="704"/>
      <c r="H574" s="704"/>
      <c r="I574" s="704"/>
      <c r="J574" s="704"/>
      <c r="K574" s="389"/>
      <c r="L574" s="666"/>
      <c r="M574" s="666"/>
      <c r="N574" s="666"/>
      <c r="O574" s="874"/>
      <c r="P574" s="767"/>
      <c r="Q574" s="961"/>
    </row>
    <row r="575" spans="1:18" s="444" customFormat="1" ht="57" customHeight="1">
      <c r="A575" s="672"/>
      <c r="B575" s="673"/>
      <c r="C575" s="454"/>
      <c r="D575" s="429"/>
      <c r="E575" s="962" t="s">
        <v>468</v>
      </c>
      <c r="F575" s="703"/>
      <c r="G575" s="704"/>
      <c r="H575" s="704"/>
      <c r="I575" s="704"/>
      <c r="J575" s="704"/>
      <c r="K575" s="389"/>
      <c r="L575" s="963"/>
      <c r="M575" s="963"/>
      <c r="N575" s="964">
        <v>244701.77</v>
      </c>
      <c r="O575" s="874"/>
      <c r="P575" s="767"/>
      <c r="Q575" s="961"/>
    </row>
    <row r="576" spans="1:18" s="444" customFormat="1" ht="57" customHeight="1">
      <c r="A576" s="672"/>
      <c r="B576" s="673"/>
      <c r="C576" s="454"/>
      <c r="D576" s="442"/>
      <c r="E576" s="962" t="s">
        <v>469</v>
      </c>
      <c r="F576" s="703"/>
      <c r="G576" s="704"/>
      <c r="H576" s="704"/>
      <c r="I576" s="704"/>
      <c r="J576" s="704"/>
      <c r="K576" s="389"/>
      <c r="L576" s="963"/>
      <c r="M576" s="963"/>
      <c r="N576" s="964">
        <v>0</v>
      </c>
      <c r="O576" s="874"/>
      <c r="P576" s="767"/>
      <c r="Q576" s="961"/>
    </row>
    <row r="577" spans="1:17" s="444" customFormat="1" ht="45" customHeight="1">
      <c r="A577" s="672"/>
      <c r="B577" s="673"/>
      <c r="C577" s="454"/>
      <c r="D577" s="442"/>
      <c r="E577" s="962" t="s">
        <v>436</v>
      </c>
      <c r="F577" s="703"/>
      <c r="G577" s="704"/>
      <c r="H577" s="704"/>
      <c r="I577" s="704"/>
      <c r="J577" s="704"/>
      <c r="K577" s="389"/>
      <c r="L577" s="963"/>
      <c r="M577" s="963"/>
      <c r="N577" s="964">
        <v>0</v>
      </c>
      <c r="O577" s="874"/>
      <c r="P577" s="767"/>
      <c r="Q577" s="961"/>
    </row>
    <row r="578" spans="1:17" s="444" customFormat="1" ht="53.25" customHeight="1">
      <c r="A578" s="672"/>
      <c r="B578" s="673"/>
      <c r="C578" s="454"/>
      <c r="D578" s="442"/>
      <c r="E578" s="962" t="s">
        <v>470</v>
      </c>
      <c r="F578" s="703"/>
      <c r="G578" s="704"/>
      <c r="H578" s="704"/>
      <c r="I578" s="704"/>
      <c r="J578" s="704"/>
      <c r="K578" s="389"/>
      <c r="L578" s="963"/>
      <c r="M578" s="963"/>
      <c r="N578" s="964">
        <v>13860.68</v>
      </c>
      <c r="O578" s="874"/>
      <c r="P578" s="767"/>
      <c r="Q578" s="961"/>
    </row>
    <row r="579" spans="1:17" s="444" customFormat="1" ht="45" customHeight="1">
      <c r="A579" s="672"/>
      <c r="B579" s="673"/>
      <c r="C579" s="454"/>
      <c r="D579" s="442"/>
      <c r="E579" s="962" t="s">
        <v>471</v>
      </c>
      <c r="F579" s="703"/>
      <c r="G579" s="704"/>
      <c r="H579" s="704"/>
      <c r="I579" s="704"/>
      <c r="J579" s="704"/>
      <c r="K579" s="389"/>
      <c r="L579" s="963"/>
      <c r="M579" s="963"/>
      <c r="N579" s="964">
        <v>0</v>
      </c>
      <c r="O579" s="874"/>
      <c r="P579" s="767"/>
      <c r="Q579" s="961"/>
    </row>
    <row r="580" spans="1:17" s="444" customFormat="1" ht="36" customHeight="1">
      <c r="A580" s="672"/>
      <c r="B580" s="673"/>
      <c r="C580" s="454"/>
      <c r="D580" s="442"/>
      <c r="E580" s="962" t="s">
        <v>437</v>
      </c>
      <c r="F580" s="703"/>
      <c r="G580" s="704"/>
      <c r="H580" s="704"/>
      <c r="I580" s="704"/>
      <c r="J580" s="704"/>
      <c r="K580" s="389"/>
      <c r="L580" s="963"/>
      <c r="M580" s="963"/>
      <c r="N580" s="964">
        <v>0</v>
      </c>
      <c r="O580" s="874"/>
      <c r="P580" s="767"/>
      <c r="Q580" s="961"/>
    </row>
    <row r="581" spans="1:17" s="444" customFormat="1" ht="36" customHeight="1">
      <c r="A581" s="672"/>
      <c r="B581" s="673"/>
      <c r="C581" s="454"/>
      <c r="D581" s="442"/>
      <c r="E581" s="962" t="s">
        <v>438</v>
      </c>
      <c r="F581" s="703"/>
      <c r="G581" s="704"/>
      <c r="H581" s="704"/>
      <c r="I581" s="704"/>
      <c r="J581" s="704"/>
      <c r="K581" s="389"/>
      <c r="L581" s="963"/>
      <c r="M581" s="963"/>
      <c r="N581" s="964">
        <v>0</v>
      </c>
      <c r="O581" s="874"/>
      <c r="P581" s="767"/>
      <c r="Q581" s="961"/>
    </row>
    <row r="582" spans="1:17" s="444" customFormat="1" ht="36" customHeight="1">
      <c r="A582" s="672"/>
      <c r="B582" s="673"/>
      <c r="C582" s="454"/>
      <c r="D582" s="442"/>
      <c r="E582" s="962" t="s">
        <v>472</v>
      </c>
      <c r="F582" s="703"/>
      <c r="G582" s="704"/>
      <c r="H582" s="704"/>
      <c r="I582" s="704"/>
      <c r="J582" s="704"/>
      <c r="K582" s="389"/>
      <c r="L582" s="963"/>
      <c r="M582" s="963"/>
      <c r="N582" s="964">
        <v>0</v>
      </c>
      <c r="O582" s="874"/>
      <c r="P582" s="767"/>
      <c r="Q582" s="961"/>
    </row>
    <row r="583" spans="1:17" s="444" customFormat="1" ht="36" customHeight="1">
      <c r="A583" s="672"/>
      <c r="B583" s="673"/>
      <c r="C583" s="454"/>
      <c r="D583" s="442"/>
      <c r="E583" s="962" t="s">
        <v>439</v>
      </c>
      <c r="F583" s="703"/>
      <c r="G583" s="704"/>
      <c r="H583" s="704"/>
      <c r="I583" s="704"/>
      <c r="J583" s="704"/>
      <c r="K583" s="389"/>
      <c r="L583" s="963"/>
      <c r="M583" s="963"/>
      <c r="N583" s="964">
        <v>0</v>
      </c>
      <c r="O583" s="874"/>
      <c r="P583" s="767"/>
      <c r="Q583" s="961"/>
    </row>
    <row r="584" spans="1:17" s="444" customFormat="1" ht="36" customHeight="1">
      <c r="A584" s="672"/>
      <c r="B584" s="673"/>
      <c r="C584" s="454"/>
      <c r="D584" s="442"/>
      <c r="E584" s="962" t="s">
        <v>440</v>
      </c>
      <c r="F584" s="703"/>
      <c r="G584" s="704"/>
      <c r="H584" s="704"/>
      <c r="I584" s="704"/>
      <c r="J584" s="704"/>
      <c r="K584" s="389"/>
      <c r="L584" s="963"/>
      <c r="M584" s="963"/>
      <c r="N584" s="964">
        <v>0</v>
      </c>
      <c r="O584" s="874"/>
      <c r="P584" s="767"/>
      <c r="Q584" s="961"/>
    </row>
    <row r="585" spans="1:17" s="444" customFormat="1" ht="36" customHeight="1">
      <c r="A585" s="672"/>
      <c r="B585" s="673"/>
      <c r="C585" s="454"/>
      <c r="D585" s="442"/>
      <c r="E585" s="962" t="s">
        <v>441</v>
      </c>
      <c r="F585" s="703"/>
      <c r="G585" s="704"/>
      <c r="H585" s="704"/>
      <c r="I585" s="704"/>
      <c r="J585" s="704"/>
      <c r="K585" s="389"/>
      <c r="L585" s="963"/>
      <c r="M585" s="963"/>
      <c r="N585" s="964">
        <v>0</v>
      </c>
      <c r="O585" s="874"/>
      <c r="P585" s="767"/>
      <c r="Q585" s="961"/>
    </row>
    <row r="586" spans="1:17" s="444" customFormat="1" ht="57" customHeight="1">
      <c r="A586" s="672"/>
      <c r="B586" s="673"/>
      <c r="C586" s="454"/>
      <c r="D586" s="442"/>
      <c r="E586" s="962" t="s">
        <v>473</v>
      </c>
      <c r="F586" s="703"/>
      <c r="G586" s="704"/>
      <c r="H586" s="704"/>
      <c r="I586" s="704"/>
      <c r="J586" s="704"/>
      <c r="K586" s="389"/>
      <c r="L586" s="963"/>
      <c r="M586" s="963"/>
      <c r="N586" s="964">
        <v>154707.21</v>
      </c>
      <c r="O586" s="874"/>
      <c r="P586" s="767"/>
      <c r="Q586" s="961"/>
    </row>
    <row r="587" spans="1:17" s="444" customFormat="1" ht="36" customHeight="1">
      <c r="A587" s="672"/>
      <c r="B587" s="673"/>
      <c r="C587" s="454"/>
      <c r="D587" s="442"/>
      <c r="E587" s="962" t="s">
        <v>442</v>
      </c>
      <c r="F587" s="703"/>
      <c r="G587" s="704"/>
      <c r="H587" s="704"/>
      <c r="I587" s="704"/>
      <c r="J587" s="704"/>
      <c r="K587" s="389"/>
      <c r="L587" s="963"/>
      <c r="M587" s="963"/>
      <c r="N587" s="964">
        <v>0</v>
      </c>
      <c r="O587" s="874"/>
      <c r="P587" s="767"/>
      <c r="Q587" s="961"/>
    </row>
    <row r="588" spans="1:17" s="444" customFormat="1" ht="36" customHeight="1">
      <c r="A588" s="672"/>
      <c r="B588" s="673"/>
      <c r="C588" s="454"/>
      <c r="D588" s="442"/>
      <c r="E588" s="962" t="s">
        <v>443</v>
      </c>
      <c r="F588" s="703"/>
      <c r="G588" s="704"/>
      <c r="H588" s="704"/>
      <c r="I588" s="704"/>
      <c r="J588" s="704"/>
      <c r="K588" s="389"/>
      <c r="L588" s="963"/>
      <c r="M588" s="963"/>
      <c r="N588" s="964">
        <v>66523.3</v>
      </c>
      <c r="O588" s="874"/>
      <c r="P588" s="767"/>
      <c r="Q588" s="961"/>
    </row>
    <row r="589" spans="1:17" s="444" customFormat="1" ht="36" customHeight="1">
      <c r="A589" s="672"/>
      <c r="B589" s="673"/>
      <c r="C589" s="454"/>
      <c r="D589" s="442"/>
      <c r="E589" s="962" t="s">
        <v>444</v>
      </c>
      <c r="F589" s="703"/>
      <c r="G589" s="704"/>
      <c r="H589" s="704"/>
      <c r="I589" s="704"/>
      <c r="J589" s="704"/>
      <c r="K589" s="389"/>
      <c r="L589" s="963"/>
      <c r="M589" s="963"/>
      <c r="N589" s="964">
        <v>3194.42</v>
      </c>
      <c r="O589" s="874"/>
      <c r="P589" s="767"/>
      <c r="Q589" s="961"/>
    </row>
    <row r="590" spans="1:17" s="444" customFormat="1" ht="53.25" customHeight="1">
      <c r="A590" s="672"/>
      <c r="B590" s="673"/>
      <c r="C590" s="454"/>
      <c r="D590" s="442"/>
      <c r="E590" s="962" t="s">
        <v>474</v>
      </c>
      <c r="F590" s="703"/>
      <c r="G590" s="704"/>
      <c r="H590" s="704"/>
      <c r="I590" s="704"/>
      <c r="J590" s="704"/>
      <c r="K590" s="389"/>
      <c r="L590" s="963"/>
      <c r="M590" s="963"/>
      <c r="N590" s="964">
        <v>23400</v>
      </c>
      <c r="O590" s="874"/>
      <c r="P590" s="767"/>
      <c r="Q590" s="961"/>
    </row>
    <row r="591" spans="1:17" s="444" customFormat="1" ht="36" customHeight="1">
      <c r="A591" s="672"/>
      <c r="B591" s="673"/>
      <c r="C591" s="454"/>
      <c r="D591" s="442"/>
      <c r="E591" s="962" t="s">
        <v>445</v>
      </c>
      <c r="F591" s="703"/>
      <c r="G591" s="704"/>
      <c r="H591" s="704"/>
      <c r="I591" s="704"/>
      <c r="J591" s="704"/>
      <c r="K591" s="389"/>
      <c r="L591" s="963"/>
      <c r="M591" s="963"/>
      <c r="N591" s="964">
        <v>79311.55</v>
      </c>
      <c r="O591" s="874"/>
      <c r="P591" s="767"/>
      <c r="Q591" s="961"/>
    </row>
    <row r="592" spans="1:17" s="444" customFormat="1" ht="57" customHeight="1">
      <c r="A592" s="672"/>
      <c r="B592" s="673"/>
      <c r="C592" s="965"/>
      <c r="D592" s="442"/>
      <c r="E592" s="950" t="s">
        <v>446</v>
      </c>
      <c r="F592" s="955">
        <v>117300</v>
      </c>
      <c r="G592" s="955">
        <v>111778</v>
      </c>
      <c r="H592" s="955">
        <v>74715.13</v>
      </c>
      <c r="I592" s="704"/>
      <c r="J592" s="704"/>
      <c r="K592" s="532"/>
      <c r="L592" s="955">
        <v>178600</v>
      </c>
      <c r="M592" s="955">
        <v>184022</v>
      </c>
      <c r="N592" s="956">
        <f>SUM(N593:N613)</f>
        <v>92852.340000000011</v>
      </c>
      <c r="O592" s="932">
        <f>N592/M592</f>
        <v>0.50457195335340344</v>
      </c>
      <c r="P592" s="767" t="s">
        <v>286</v>
      </c>
      <c r="Q592" s="961"/>
    </row>
    <row r="593" spans="1:17" s="444" customFormat="1" ht="75" customHeight="1">
      <c r="A593" s="672"/>
      <c r="B593" s="673"/>
      <c r="C593" s="965"/>
      <c r="D593" s="442"/>
      <c r="E593" s="966" t="s">
        <v>447</v>
      </c>
      <c r="F593" s="967"/>
      <c r="G593" s="967"/>
      <c r="H593" s="967">
        <v>0</v>
      </c>
      <c r="I593" s="704"/>
      <c r="J593" s="704"/>
      <c r="K593" s="532"/>
      <c r="L593" s="967"/>
      <c r="M593" s="967"/>
      <c r="N593" s="968">
        <v>150</v>
      </c>
      <c r="O593" s="874"/>
      <c r="P593" s="767"/>
      <c r="Q593" s="961"/>
    </row>
    <row r="594" spans="1:17" s="444" customFormat="1" ht="36" customHeight="1">
      <c r="A594" s="672"/>
      <c r="B594" s="673"/>
      <c r="C594" s="965"/>
      <c r="D594" s="442"/>
      <c r="E594" s="966" t="s">
        <v>448</v>
      </c>
      <c r="F594" s="967"/>
      <c r="G594" s="967"/>
      <c r="H594" s="967">
        <v>0</v>
      </c>
      <c r="I594" s="704"/>
      <c r="J594" s="704"/>
      <c r="K594" s="532"/>
      <c r="L594" s="967"/>
      <c r="M594" s="967"/>
      <c r="N594" s="968">
        <v>0</v>
      </c>
      <c r="O594" s="874"/>
      <c r="P594" s="767"/>
      <c r="Q594" s="961"/>
    </row>
    <row r="595" spans="1:17" s="444" customFormat="1" ht="36" customHeight="1">
      <c r="A595" s="672"/>
      <c r="B595" s="673"/>
      <c r="C595" s="965"/>
      <c r="D595" s="442"/>
      <c r="E595" s="966" t="s">
        <v>449</v>
      </c>
      <c r="F595" s="967"/>
      <c r="G595" s="967"/>
      <c r="H595" s="967">
        <v>0</v>
      </c>
      <c r="I595" s="704"/>
      <c r="J595" s="704"/>
      <c r="K595" s="532"/>
      <c r="L595" s="967"/>
      <c r="M595" s="967"/>
      <c r="N595" s="968">
        <v>0</v>
      </c>
      <c r="O595" s="874"/>
      <c r="P595" s="767"/>
      <c r="Q595" s="961"/>
    </row>
    <row r="596" spans="1:17" s="444" customFormat="1" ht="36" customHeight="1">
      <c r="A596" s="672"/>
      <c r="B596" s="673"/>
      <c r="C596" s="965"/>
      <c r="D596" s="442"/>
      <c r="E596" s="966" t="s">
        <v>450</v>
      </c>
      <c r="F596" s="967"/>
      <c r="G596" s="967"/>
      <c r="H596" s="967">
        <v>0</v>
      </c>
      <c r="I596" s="704"/>
      <c r="J596" s="704"/>
      <c r="K596" s="532"/>
      <c r="L596" s="967"/>
      <c r="M596" s="967"/>
      <c r="N596" s="968">
        <v>0</v>
      </c>
      <c r="O596" s="874"/>
      <c r="P596" s="767"/>
      <c r="Q596" s="961"/>
    </row>
    <row r="597" spans="1:17" s="444" customFormat="1" ht="36" customHeight="1">
      <c r="A597" s="672"/>
      <c r="B597" s="673"/>
      <c r="C597" s="965"/>
      <c r="D597" s="442"/>
      <c r="E597" s="966" t="s">
        <v>451</v>
      </c>
      <c r="F597" s="967"/>
      <c r="G597" s="967"/>
      <c r="H597" s="967">
        <v>0</v>
      </c>
      <c r="I597" s="704"/>
      <c r="J597" s="704"/>
      <c r="K597" s="532"/>
      <c r="L597" s="967"/>
      <c r="M597" s="967"/>
      <c r="N597" s="968">
        <v>0</v>
      </c>
      <c r="O597" s="874"/>
      <c r="P597" s="767"/>
      <c r="Q597" s="961"/>
    </row>
    <row r="598" spans="1:17" s="444" customFormat="1" ht="59.25" customHeight="1">
      <c r="A598" s="672"/>
      <c r="B598" s="673"/>
      <c r="C598" s="965"/>
      <c r="D598" s="442"/>
      <c r="E598" s="969" t="s">
        <v>452</v>
      </c>
      <c r="F598" s="967"/>
      <c r="G598" s="967"/>
      <c r="H598" s="967">
        <v>4300</v>
      </c>
      <c r="I598" s="704"/>
      <c r="J598" s="704"/>
      <c r="K598" s="532"/>
      <c r="L598" s="967"/>
      <c r="M598" s="967"/>
      <c r="N598" s="968">
        <v>1835.97</v>
      </c>
      <c r="O598" s="874"/>
      <c r="P598" s="767"/>
      <c r="Q598" s="961"/>
    </row>
    <row r="599" spans="1:17" s="444" customFormat="1" ht="84" customHeight="1">
      <c r="A599" s="672"/>
      <c r="B599" s="673"/>
      <c r="C599" s="965"/>
      <c r="D599" s="442"/>
      <c r="E599" s="966" t="s">
        <v>453</v>
      </c>
      <c r="F599" s="967"/>
      <c r="G599" s="967"/>
      <c r="H599" s="967">
        <v>0</v>
      </c>
      <c r="I599" s="704"/>
      <c r="J599" s="704"/>
      <c r="K599" s="532"/>
      <c r="L599" s="967"/>
      <c r="M599" s="967"/>
      <c r="N599" s="968">
        <v>735.8</v>
      </c>
      <c r="O599" s="874"/>
      <c r="P599" s="767"/>
      <c r="Q599" s="961"/>
    </row>
    <row r="600" spans="1:17" s="444" customFormat="1" ht="54.75" customHeight="1">
      <c r="A600" s="672"/>
      <c r="B600" s="673"/>
      <c r="C600" s="965"/>
      <c r="D600" s="442"/>
      <c r="E600" s="966" t="s">
        <v>454</v>
      </c>
      <c r="F600" s="967"/>
      <c r="G600" s="967"/>
      <c r="H600" s="967">
        <v>0</v>
      </c>
      <c r="I600" s="704"/>
      <c r="J600" s="704"/>
      <c r="K600" s="532"/>
      <c r="L600" s="967"/>
      <c r="M600" s="967"/>
      <c r="N600" s="968">
        <v>0</v>
      </c>
      <c r="O600" s="874"/>
      <c r="P600" s="767"/>
      <c r="Q600" s="961"/>
    </row>
    <row r="601" spans="1:17" s="444" customFormat="1" ht="54.75" customHeight="1">
      <c r="A601" s="672"/>
      <c r="B601" s="673"/>
      <c r="C601" s="965"/>
      <c r="D601" s="442"/>
      <c r="E601" s="966" t="s">
        <v>455</v>
      </c>
      <c r="F601" s="967"/>
      <c r="G601" s="967"/>
      <c r="H601" s="967">
        <v>0</v>
      </c>
      <c r="I601" s="704"/>
      <c r="J601" s="704"/>
      <c r="K601" s="532"/>
      <c r="L601" s="967"/>
      <c r="M601" s="967"/>
      <c r="N601" s="968">
        <v>2322.7199999999998</v>
      </c>
      <c r="O601" s="874"/>
      <c r="P601" s="767"/>
      <c r="Q601" s="961"/>
    </row>
    <row r="602" spans="1:17" s="444" customFormat="1" ht="62.4" customHeight="1">
      <c r="A602" s="672"/>
      <c r="B602" s="673"/>
      <c r="C602" s="965"/>
      <c r="D602" s="442"/>
      <c r="E602" s="966" t="s">
        <v>456</v>
      </c>
      <c r="F602" s="967"/>
      <c r="G602" s="967"/>
      <c r="H602" s="967">
        <v>0</v>
      </c>
      <c r="I602" s="704"/>
      <c r="J602" s="704"/>
      <c r="K602" s="532"/>
      <c r="L602" s="967"/>
      <c r="M602" s="967"/>
      <c r="N602" s="968">
        <v>1597.13</v>
      </c>
      <c r="O602" s="874"/>
      <c r="P602" s="767"/>
      <c r="Q602" s="961"/>
    </row>
    <row r="603" spans="1:17" s="444" customFormat="1" ht="54.75" customHeight="1">
      <c r="A603" s="672"/>
      <c r="B603" s="673"/>
      <c r="C603" s="965"/>
      <c r="D603" s="442"/>
      <c r="E603" s="966" t="s">
        <v>457</v>
      </c>
      <c r="F603" s="967"/>
      <c r="G603" s="967"/>
      <c r="H603" s="967">
        <v>0</v>
      </c>
      <c r="I603" s="704"/>
      <c r="J603" s="704"/>
      <c r="K603" s="532"/>
      <c r="L603" s="967"/>
      <c r="M603" s="967"/>
      <c r="N603" s="968">
        <v>0</v>
      </c>
      <c r="O603" s="874"/>
      <c r="P603" s="767"/>
      <c r="Q603" s="961"/>
    </row>
    <row r="604" spans="1:17" s="444" customFormat="1" ht="54.75" customHeight="1">
      <c r="A604" s="672"/>
      <c r="B604" s="673"/>
      <c r="C604" s="965"/>
      <c r="D604" s="442"/>
      <c r="E604" s="966" t="s">
        <v>458</v>
      </c>
      <c r="F604" s="967"/>
      <c r="G604" s="967"/>
      <c r="H604" s="967">
        <v>0</v>
      </c>
      <c r="I604" s="704"/>
      <c r="J604" s="704"/>
      <c r="K604" s="532"/>
      <c r="L604" s="967"/>
      <c r="M604" s="967"/>
      <c r="N604" s="968">
        <v>0</v>
      </c>
      <c r="O604" s="874"/>
      <c r="P604" s="767"/>
      <c r="Q604" s="961"/>
    </row>
    <row r="605" spans="1:17" s="444" customFormat="1" ht="54.75" customHeight="1">
      <c r="A605" s="672"/>
      <c r="B605" s="673"/>
      <c r="C605" s="965"/>
      <c r="D605" s="442"/>
      <c r="E605" s="966" t="s">
        <v>459</v>
      </c>
      <c r="F605" s="970"/>
      <c r="G605" s="970"/>
      <c r="H605" s="967">
        <v>32231.32</v>
      </c>
      <c r="I605" s="704"/>
      <c r="J605" s="704"/>
      <c r="K605" s="532"/>
      <c r="L605" s="970"/>
      <c r="M605" s="970"/>
      <c r="N605" s="968">
        <v>30177.27</v>
      </c>
      <c r="O605" s="874"/>
      <c r="P605" s="767"/>
      <c r="Q605" s="961"/>
    </row>
    <row r="606" spans="1:17" s="444" customFormat="1" ht="36" customHeight="1">
      <c r="A606" s="672"/>
      <c r="B606" s="673"/>
      <c r="C606" s="965"/>
      <c r="D606" s="442"/>
      <c r="E606" s="966" t="s">
        <v>460</v>
      </c>
      <c r="F606" s="970"/>
      <c r="G606" s="970"/>
      <c r="H606" s="967">
        <v>0</v>
      </c>
      <c r="I606" s="704"/>
      <c r="J606" s="704"/>
      <c r="K606" s="532"/>
      <c r="L606" s="970"/>
      <c r="M606" s="970"/>
      <c r="N606" s="968">
        <v>2332.21</v>
      </c>
      <c r="O606" s="874"/>
      <c r="P606" s="767"/>
      <c r="Q606" s="961"/>
    </row>
    <row r="607" spans="1:17" s="444" customFormat="1" ht="36" customHeight="1">
      <c r="A607" s="672"/>
      <c r="B607" s="673"/>
      <c r="C607" s="965"/>
      <c r="D607" s="442"/>
      <c r="E607" s="966" t="s">
        <v>461</v>
      </c>
      <c r="F607" s="970"/>
      <c r="G607" s="970"/>
      <c r="H607" s="967">
        <v>692</v>
      </c>
      <c r="I607" s="704"/>
      <c r="J607" s="704"/>
      <c r="K607" s="532"/>
      <c r="L607" s="970"/>
      <c r="M607" s="970"/>
      <c r="N607" s="968">
        <v>959</v>
      </c>
      <c r="O607" s="874"/>
      <c r="P607" s="767"/>
      <c r="Q607" s="961"/>
    </row>
    <row r="608" spans="1:17" s="444" customFormat="1" ht="36" customHeight="1">
      <c r="A608" s="672"/>
      <c r="B608" s="673"/>
      <c r="C608" s="965"/>
      <c r="D608" s="442"/>
      <c r="E608" s="966" t="s">
        <v>462</v>
      </c>
      <c r="F608" s="970"/>
      <c r="G608" s="970"/>
      <c r="H608" s="967">
        <v>35817</v>
      </c>
      <c r="I608" s="704"/>
      <c r="J608" s="704"/>
      <c r="K608" s="532"/>
      <c r="L608" s="970"/>
      <c r="M608" s="970"/>
      <c r="N608" s="968">
        <v>43967</v>
      </c>
      <c r="O608" s="874"/>
      <c r="P608" s="767"/>
      <c r="Q608" s="961"/>
    </row>
    <row r="609" spans="1:18" s="444" customFormat="1" ht="36" customHeight="1">
      <c r="A609" s="672"/>
      <c r="B609" s="673"/>
      <c r="C609" s="965"/>
      <c r="D609" s="442"/>
      <c r="E609" s="966" t="s">
        <v>463</v>
      </c>
      <c r="F609" s="970"/>
      <c r="G609" s="970"/>
      <c r="H609" s="967">
        <v>0</v>
      </c>
      <c r="I609" s="704"/>
      <c r="J609" s="704"/>
      <c r="K609" s="532"/>
      <c r="L609" s="970"/>
      <c r="M609" s="970"/>
      <c r="N609" s="968">
        <v>0</v>
      </c>
      <c r="O609" s="874"/>
      <c r="P609" s="767"/>
      <c r="Q609" s="961"/>
    </row>
    <row r="610" spans="1:18" s="444" customFormat="1" ht="58.5" customHeight="1">
      <c r="A610" s="672"/>
      <c r="B610" s="673"/>
      <c r="C610" s="965"/>
      <c r="D610" s="442"/>
      <c r="E610" s="966" t="s">
        <v>464</v>
      </c>
      <c r="F610" s="970"/>
      <c r="G610" s="970"/>
      <c r="H610" s="967">
        <v>0</v>
      </c>
      <c r="I610" s="704"/>
      <c r="J610" s="704"/>
      <c r="K610" s="532"/>
      <c r="L610" s="970"/>
      <c r="M610" s="970"/>
      <c r="N610" s="968">
        <v>0</v>
      </c>
      <c r="O610" s="874"/>
      <c r="P610" s="767"/>
      <c r="Q610" s="961"/>
    </row>
    <row r="611" spans="1:18" s="444" customFormat="1" ht="36" customHeight="1">
      <c r="A611" s="672"/>
      <c r="B611" s="673"/>
      <c r="C611" s="965"/>
      <c r="D611" s="442"/>
      <c r="E611" s="966" t="s">
        <v>465</v>
      </c>
      <c r="F611" s="970"/>
      <c r="G611" s="970"/>
      <c r="H611" s="967">
        <v>0</v>
      </c>
      <c r="I611" s="704"/>
      <c r="J611" s="704"/>
      <c r="K611" s="532"/>
      <c r="L611" s="970"/>
      <c r="M611" s="970"/>
      <c r="N611" s="968">
        <v>0</v>
      </c>
      <c r="O611" s="874"/>
      <c r="P611" s="767"/>
      <c r="Q611" s="961"/>
    </row>
    <row r="612" spans="1:18" s="444" customFormat="1" ht="36" customHeight="1">
      <c r="A612" s="672"/>
      <c r="B612" s="673"/>
      <c r="C612" s="965"/>
      <c r="D612" s="442"/>
      <c r="E612" s="966" t="s">
        <v>466</v>
      </c>
      <c r="F612" s="970"/>
      <c r="G612" s="970"/>
      <c r="H612" s="967">
        <v>0</v>
      </c>
      <c r="I612" s="704"/>
      <c r="J612" s="704"/>
      <c r="K612" s="532"/>
      <c r="L612" s="970"/>
      <c r="M612" s="970"/>
      <c r="N612" s="968">
        <v>0</v>
      </c>
      <c r="O612" s="874"/>
      <c r="P612" s="767"/>
      <c r="Q612" s="961"/>
    </row>
    <row r="613" spans="1:18" s="444" customFormat="1" ht="152.25" customHeight="1">
      <c r="A613" s="672"/>
      <c r="B613" s="673"/>
      <c r="C613" s="965"/>
      <c r="D613" s="442"/>
      <c r="E613" s="966" t="s">
        <v>475</v>
      </c>
      <c r="F613" s="970"/>
      <c r="G613" s="970"/>
      <c r="H613" s="967">
        <v>1674.81</v>
      </c>
      <c r="I613" s="704"/>
      <c r="J613" s="704"/>
      <c r="K613" s="532"/>
      <c r="L613" s="970"/>
      <c r="M613" s="970"/>
      <c r="N613" s="968">
        <v>8775.24</v>
      </c>
      <c r="O613" s="874"/>
      <c r="P613" s="767"/>
      <c r="Q613" s="961"/>
    </row>
    <row r="614" spans="1:18" s="444" customFormat="1" ht="57" customHeight="1">
      <c r="A614" s="672"/>
      <c r="B614" s="673"/>
      <c r="C614" s="965"/>
      <c r="D614" s="442"/>
      <c r="E614" s="950" t="s">
        <v>467</v>
      </c>
      <c r="F614" s="955">
        <v>117300</v>
      </c>
      <c r="G614" s="955">
        <v>111778</v>
      </c>
      <c r="H614" s="955">
        <v>74715.13</v>
      </c>
      <c r="I614" s="704"/>
      <c r="J614" s="704"/>
      <c r="K614" s="532"/>
      <c r="L614" s="955">
        <v>0</v>
      </c>
      <c r="M614" s="955">
        <v>0</v>
      </c>
      <c r="N614" s="956">
        <v>0</v>
      </c>
      <c r="O614" s="932"/>
      <c r="P614" s="767" t="s">
        <v>286</v>
      </c>
      <c r="Q614" s="961"/>
    </row>
    <row r="615" spans="1:18" s="269" customFormat="1" ht="50.1" customHeight="1">
      <c r="A615" s="558"/>
      <c r="B615" s="64"/>
      <c r="C615" s="458">
        <v>2</v>
      </c>
      <c r="D615" s="459"/>
      <c r="E615" s="284" t="s">
        <v>50</v>
      </c>
      <c r="F615" s="526"/>
      <c r="G615" s="526"/>
      <c r="H615" s="526"/>
      <c r="I615" s="526"/>
      <c r="J615" s="526"/>
      <c r="K615" s="457">
        <f>1783000+5400+1000+50000+78928+68172+3500</f>
        <v>1990000</v>
      </c>
      <c r="L615" s="457">
        <f>SUM(F615:K615)</f>
        <v>1990000</v>
      </c>
      <c r="M615" s="457">
        <f>M616+M635+M657</f>
        <v>1992571</v>
      </c>
      <c r="N615" s="457">
        <f>N616+N635+N657</f>
        <v>921624.59000000008</v>
      </c>
      <c r="O615" s="877">
        <f>N615/M615</f>
        <v>0.46253036403721626</v>
      </c>
      <c r="P615" s="761" t="s">
        <v>286</v>
      </c>
    </row>
    <row r="616" spans="1:18" s="435" customFormat="1" ht="39.9" customHeight="1">
      <c r="A616" s="705"/>
      <c r="B616" s="949"/>
      <c r="C616" s="463"/>
      <c r="D616" s="448"/>
      <c r="E616" s="950" t="s">
        <v>435</v>
      </c>
      <c r="F616" s="951"/>
      <c r="G616" s="952"/>
      <c r="H616" s="952"/>
      <c r="I616" s="952"/>
      <c r="J616" s="953"/>
      <c r="K616" s="954"/>
      <c r="L616" s="955">
        <v>1788400</v>
      </c>
      <c r="M616" s="955">
        <v>1784570</v>
      </c>
      <c r="N616" s="956">
        <f>SUM(N618:N634)</f>
        <v>805024.07000000007</v>
      </c>
      <c r="O616" s="932">
        <f>N616/M616</f>
        <v>0.45110254571129182</v>
      </c>
      <c r="P616" s="957" t="s">
        <v>286</v>
      </c>
      <c r="Q616" s="823"/>
      <c r="R616" s="958"/>
    </row>
    <row r="617" spans="1:18" s="444" customFormat="1" ht="34.5" customHeight="1">
      <c r="A617" s="672"/>
      <c r="B617" s="673"/>
      <c r="C617" s="454"/>
      <c r="D617" s="442"/>
      <c r="E617" s="959" t="s">
        <v>16</v>
      </c>
      <c r="F617" s="703"/>
      <c r="G617" s="704"/>
      <c r="H617" s="704"/>
      <c r="I617" s="704"/>
      <c r="J617" s="704"/>
      <c r="K617" s="389"/>
      <c r="L617" s="666"/>
      <c r="M617" s="666"/>
      <c r="N617" s="666"/>
      <c r="O617" s="874"/>
      <c r="P617" s="960"/>
      <c r="Q617" s="822"/>
      <c r="R617" s="961"/>
    </row>
    <row r="618" spans="1:18" s="444" customFormat="1" ht="57" customHeight="1">
      <c r="A618" s="672"/>
      <c r="B618" s="673"/>
      <c r="C618" s="454"/>
      <c r="D618" s="429"/>
      <c r="E618" s="962" t="s">
        <v>500</v>
      </c>
      <c r="F618" s="703"/>
      <c r="G618" s="704"/>
      <c r="H618" s="704"/>
      <c r="I618" s="704"/>
      <c r="J618" s="704"/>
      <c r="K618" s="389"/>
      <c r="L618" s="963"/>
      <c r="M618" s="963"/>
      <c r="N618" s="964">
        <v>385772.28</v>
      </c>
      <c r="O618" s="874"/>
      <c r="P618" s="960"/>
      <c r="Q618" s="822"/>
      <c r="R618" s="961"/>
    </row>
    <row r="619" spans="1:18" s="444" customFormat="1" ht="57" customHeight="1">
      <c r="A619" s="672"/>
      <c r="B619" s="673"/>
      <c r="C619" s="454"/>
      <c r="D619" s="442"/>
      <c r="E619" s="962" t="s">
        <v>495</v>
      </c>
      <c r="F619" s="703"/>
      <c r="G619" s="704"/>
      <c r="H619" s="704"/>
      <c r="I619" s="704"/>
      <c r="J619" s="704"/>
      <c r="K619" s="389"/>
      <c r="L619" s="963"/>
      <c r="M619" s="963"/>
      <c r="N619" s="964">
        <v>0</v>
      </c>
      <c r="O619" s="874"/>
      <c r="P619" s="960"/>
      <c r="Q619" s="822"/>
      <c r="R619" s="961"/>
    </row>
    <row r="620" spans="1:18" s="444" customFormat="1" ht="57" customHeight="1">
      <c r="A620" s="672"/>
      <c r="B620" s="673"/>
      <c r="C620" s="454"/>
      <c r="D620" s="442"/>
      <c r="E620" s="962" t="s">
        <v>501</v>
      </c>
      <c r="F620" s="703"/>
      <c r="G620" s="704"/>
      <c r="H620" s="704"/>
      <c r="I620" s="704"/>
      <c r="J620" s="704"/>
      <c r="K620" s="389"/>
      <c r="L620" s="963"/>
      <c r="M620" s="963"/>
      <c r="N620" s="964">
        <v>0</v>
      </c>
      <c r="O620" s="874"/>
      <c r="P620" s="960"/>
      <c r="Q620" s="822"/>
      <c r="R620" s="961"/>
    </row>
    <row r="621" spans="1:18" s="444" customFormat="1" ht="57" customHeight="1">
      <c r="A621" s="672"/>
      <c r="B621" s="673"/>
      <c r="C621" s="454"/>
      <c r="D621" s="442"/>
      <c r="E621" s="962" t="s">
        <v>502</v>
      </c>
      <c r="F621" s="703"/>
      <c r="G621" s="704"/>
      <c r="H621" s="704"/>
      <c r="I621" s="704"/>
      <c r="J621" s="704"/>
      <c r="K621" s="389"/>
      <c r="L621" s="963"/>
      <c r="M621" s="963"/>
      <c r="N621" s="964">
        <v>5939.07</v>
      </c>
      <c r="O621" s="874"/>
      <c r="P621" s="960"/>
      <c r="Q621" s="822"/>
      <c r="R621" s="961"/>
    </row>
    <row r="622" spans="1:18" s="444" customFormat="1" ht="36" customHeight="1">
      <c r="A622" s="672"/>
      <c r="B622" s="673"/>
      <c r="C622" s="454"/>
      <c r="D622" s="442"/>
      <c r="E622" s="962" t="s">
        <v>496</v>
      </c>
      <c r="F622" s="703"/>
      <c r="G622" s="704"/>
      <c r="H622" s="704"/>
      <c r="I622" s="704"/>
      <c r="J622" s="704"/>
      <c r="K622" s="389"/>
      <c r="L622" s="963"/>
      <c r="M622" s="963"/>
      <c r="N622" s="964">
        <v>0</v>
      </c>
      <c r="O622" s="874"/>
      <c r="P622" s="960"/>
      <c r="Q622" s="822"/>
      <c r="R622" s="961"/>
    </row>
    <row r="623" spans="1:18" s="444" customFormat="1" ht="36" customHeight="1">
      <c r="A623" s="672"/>
      <c r="B623" s="673"/>
      <c r="C623" s="454"/>
      <c r="D623" s="442"/>
      <c r="E623" s="962" t="s">
        <v>437</v>
      </c>
      <c r="F623" s="703"/>
      <c r="G623" s="704"/>
      <c r="H623" s="704"/>
      <c r="I623" s="704"/>
      <c r="J623" s="704"/>
      <c r="K623" s="389"/>
      <c r="L623" s="963"/>
      <c r="M623" s="963"/>
      <c r="N623" s="964">
        <v>0</v>
      </c>
      <c r="O623" s="874"/>
      <c r="P623" s="960"/>
      <c r="Q623" s="822"/>
      <c r="R623" s="961"/>
    </row>
    <row r="624" spans="1:18" s="444" customFormat="1" ht="36" customHeight="1">
      <c r="A624" s="672"/>
      <c r="B624" s="673"/>
      <c r="C624" s="454"/>
      <c r="D624" s="442"/>
      <c r="E624" s="962" t="s">
        <v>438</v>
      </c>
      <c r="F624" s="703"/>
      <c r="G624" s="704"/>
      <c r="H624" s="704"/>
      <c r="I624" s="704"/>
      <c r="J624" s="704"/>
      <c r="K624" s="389"/>
      <c r="L624" s="963"/>
      <c r="M624" s="963"/>
      <c r="N624" s="964">
        <v>0</v>
      </c>
      <c r="O624" s="874"/>
      <c r="P624" s="960"/>
      <c r="Q624" s="822"/>
      <c r="R624" s="961"/>
    </row>
    <row r="625" spans="1:18" s="444" customFormat="1" ht="36" customHeight="1">
      <c r="A625" s="672"/>
      <c r="B625" s="673"/>
      <c r="C625" s="454"/>
      <c r="D625" s="442"/>
      <c r="E625" s="962" t="s">
        <v>503</v>
      </c>
      <c r="F625" s="703"/>
      <c r="G625" s="704"/>
      <c r="H625" s="704"/>
      <c r="I625" s="704"/>
      <c r="J625" s="704"/>
      <c r="K625" s="389"/>
      <c r="L625" s="963"/>
      <c r="M625" s="963"/>
      <c r="N625" s="964">
        <v>0</v>
      </c>
      <c r="O625" s="874"/>
      <c r="P625" s="960"/>
      <c r="Q625" s="822"/>
      <c r="R625" s="961"/>
    </row>
    <row r="626" spans="1:18" s="444" customFormat="1" ht="36" customHeight="1">
      <c r="A626" s="672"/>
      <c r="B626" s="673"/>
      <c r="C626" s="454"/>
      <c r="D626" s="442"/>
      <c r="E626" s="962" t="s">
        <v>439</v>
      </c>
      <c r="F626" s="703"/>
      <c r="G626" s="704"/>
      <c r="H626" s="704"/>
      <c r="I626" s="704"/>
      <c r="J626" s="704"/>
      <c r="K626" s="389"/>
      <c r="L626" s="963"/>
      <c r="M626" s="963"/>
      <c r="N626" s="964">
        <v>0</v>
      </c>
      <c r="O626" s="874"/>
      <c r="P626" s="960"/>
      <c r="Q626" s="822"/>
      <c r="R626" s="961"/>
    </row>
    <row r="627" spans="1:18" s="444" customFormat="1" ht="36" customHeight="1">
      <c r="A627" s="672"/>
      <c r="B627" s="673"/>
      <c r="C627" s="454"/>
      <c r="D627" s="442"/>
      <c r="E627" s="962" t="s">
        <v>440</v>
      </c>
      <c r="F627" s="703"/>
      <c r="G627" s="704"/>
      <c r="H627" s="704"/>
      <c r="I627" s="704"/>
      <c r="J627" s="704"/>
      <c r="K627" s="389"/>
      <c r="L627" s="963"/>
      <c r="M627" s="963"/>
      <c r="N627" s="964">
        <v>0</v>
      </c>
      <c r="O627" s="874"/>
      <c r="P627" s="960"/>
      <c r="Q627" s="822"/>
      <c r="R627" s="961"/>
    </row>
    <row r="628" spans="1:18" s="444" customFormat="1" ht="36" customHeight="1">
      <c r="A628" s="672"/>
      <c r="B628" s="673"/>
      <c r="C628" s="454"/>
      <c r="D628" s="442"/>
      <c r="E628" s="962" t="s">
        <v>441</v>
      </c>
      <c r="F628" s="703"/>
      <c r="G628" s="704"/>
      <c r="H628" s="704"/>
      <c r="I628" s="704"/>
      <c r="J628" s="704"/>
      <c r="K628" s="389"/>
      <c r="L628" s="963"/>
      <c r="M628" s="963"/>
      <c r="N628" s="964">
        <v>0</v>
      </c>
      <c r="O628" s="874"/>
      <c r="P628" s="960"/>
      <c r="Q628" s="822"/>
      <c r="R628" s="961"/>
    </row>
    <row r="629" spans="1:18" s="444" customFormat="1" ht="57" customHeight="1">
      <c r="A629" s="672"/>
      <c r="B629" s="673"/>
      <c r="C629" s="454"/>
      <c r="D629" s="442"/>
      <c r="E629" s="962" t="s">
        <v>504</v>
      </c>
      <c r="F629" s="703"/>
      <c r="G629" s="704"/>
      <c r="H629" s="704"/>
      <c r="I629" s="704"/>
      <c r="J629" s="704"/>
      <c r="K629" s="389"/>
      <c r="L629" s="963"/>
      <c r="M629" s="963"/>
      <c r="N629" s="964">
        <v>197351.75</v>
      </c>
      <c r="O629" s="874"/>
      <c r="P629" s="960"/>
      <c r="Q629" s="822"/>
      <c r="R629" s="961"/>
    </row>
    <row r="630" spans="1:18" s="444" customFormat="1" ht="36" customHeight="1">
      <c r="A630" s="672"/>
      <c r="B630" s="673"/>
      <c r="C630" s="454"/>
      <c r="D630" s="442"/>
      <c r="E630" s="962" t="s">
        <v>442</v>
      </c>
      <c r="F630" s="703"/>
      <c r="G630" s="704"/>
      <c r="H630" s="704"/>
      <c r="I630" s="704"/>
      <c r="J630" s="704"/>
      <c r="K630" s="389"/>
      <c r="L630" s="963"/>
      <c r="M630" s="963"/>
      <c r="N630" s="964">
        <v>0</v>
      </c>
      <c r="O630" s="874"/>
      <c r="P630" s="960"/>
      <c r="Q630" s="822"/>
      <c r="R630" s="961"/>
    </row>
    <row r="631" spans="1:18" s="444" customFormat="1" ht="36" customHeight="1">
      <c r="A631" s="672"/>
      <c r="B631" s="673"/>
      <c r="C631" s="454"/>
      <c r="D631" s="442"/>
      <c r="E631" s="962" t="s">
        <v>443</v>
      </c>
      <c r="F631" s="703"/>
      <c r="G631" s="704"/>
      <c r="H631" s="704"/>
      <c r="I631" s="704"/>
      <c r="J631" s="704"/>
      <c r="K631" s="389"/>
      <c r="L631" s="963"/>
      <c r="M631" s="963"/>
      <c r="N631" s="964">
        <v>92994.41</v>
      </c>
      <c r="O631" s="874"/>
      <c r="P631" s="960"/>
      <c r="Q631" s="822"/>
      <c r="R631" s="961"/>
    </row>
    <row r="632" spans="1:18" s="444" customFormat="1" ht="36" customHeight="1">
      <c r="A632" s="672"/>
      <c r="B632" s="673"/>
      <c r="C632" s="454"/>
      <c r="D632" s="442"/>
      <c r="E632" s="962" t="s">
        <v>497</v>
      </c>
      <c r="F632" s="703"/>
      <c r="G632" s="704"/>
      <c r="H632" s="704"/>
      <c r="I632" s="704"/>
      <c r="J632" s="704"/>
      <c r="K632" s="389"/>
      <c r="L632" s="963"/>
      <c r="M632" s="963"/>
      <c r="N632" s="964">
        <v>0</v>
      </c>
      <c r="O632" s="874"/>
      <c r="P632" s="960"/>
      <c r="Q632" s="822"/>
      <c r="R632" s="961"/>
    </row>
    <row r="633" spans="1:18" s="444" customFormat="1" ht="38.25" customHeight="1">
      <c r="A633" s="672"/>
      <c r="B633" s="673"/>
      <c r="C633" s="454"/>
      <c r="D633" s="442"/>
      <c r="E633" s="962" t="s">
        <v>498</v>
      </c>
      <c r="F633" s="703"/>
      <c r="G633" s="704"/>
      <c r="H633" s="704"/>
      <c r="I633" s="704"/>
      <c r="J633" s="704"/>
      <c r="K633" s="389"/>
      <c r="L633" s="963"/>
      <c r="M633" s="963"/>
      <c r="N633" s="964">
        <v>3120</v>
      </c>
      <c r="O633" s="874"/>
      <c r="P633" s="960"/>
      <c r="Q633" s="822"/>
      <c r="R633" s="961"/>
    </row>
    <row r="634" spans="1:18" s="444" customFormat="1" ht="36" customHeight="1">
      <c r="A634" s="672"/>
      <c r="B634" s="673"/>
      <c r="C634" s="454"/>
      <c r="D634" s="442"/>
      <c r="E634" s="962" t="s">
        <v>445</v>
      </c>
      <c r="F634" s="703"/>
      <c r="G634" s="704"/>
      <c r="H634" s="704"/>
      <c r="I634" s="704"/>
      <c r="J634" s="704"/>
      <c r="K634" s="389"/>
      <c r="L634" s="963"/>
      <c r="M634" s="963"/>
      <c r="N634" s="964">
        <v>119846.56</v>
      </c>
      <c r="O634" s="874"/>
      <c r="P634" s="960"/>
      <c r="Q634" s="822"/>
      <c r="R634" s="961"/>
    </row>
    <row r="635" spans="1:18" s="444" customFormat="1" ht="57" customHeight="1">
      <c r="A635" s="672"/>
      <c r="B635" s="673"/>
      <c r="C635" s="965"/>
      <c r="D635" s="442"/>
      <c r="E635" s="950" t="s">
        <v>446</v>
      </c>
      <c r="F635" s="955">
        <v>117300</v>
      </c>
      <c r="G635" s="955">
        <v>111778</v>
      </c>
      <c r="H635" s="955">
        <v>74715.13</v>
      </c>
      <c r="I635" s="704"/>
      <c r="J635" s="704"/>
      <c r="K635" s="532"/>
      <c r="L635" s="955">
        <v>201600</v>
      </c>
      <c r="M635" s="955">
        <v>208001</v>
      </c>
      <c r="N635" s="956">
        <f>SUM(N636:N656)</f>
        <v>116600.52</v>
      </c>
      <c r="O635" s="932">
        <f>N635/M635</f>
        <v>0.56057672799650005</v>
      </c>
      <c r="P635" s="960" t="s">
        <v>286</v>
      </c>
      <c r="Q635" s="822"/>
      <c r="R635" s="961"/>
    </row>
    <row r="636" spans="1:18" s="444" customFormat="1" ht="85.95" customHeight="1">
      <c r="A636" s="672"/>
      <c r="B636" s="673"/>
      <c r="C636" s="965"/>
      <c r="D636" s="442"/>
      <c r="E636" s="966" t="s">
        <v>447</v>
      </c>
      <c r="F636" s="967"/>
      <c r="G636" s="967"/>
      <c r="H636" s="967">
        <v>0</v>
      </c>
      <c r="I636" s="704"/>
      <c r="J636" s="704"/>
      <c r="K636" s="532"/>
      <c r="L636" s="967"/>
      <c r="M636" s="967"/>
      <c r="N636" s="968">
        <v>678.73</v>
      </c>
      <c r="O636" s="874"/>
      <c r="P636" s="960"/>
      <c r="Q636" s="822"/>
      <c r="R636" s="961"/>
    </row>
    <row r="637" spans="1:18" s="444" customFormat="1" ht="36" customHeight="1">
      <c r="A637" s="672"/>
      <c r="B637" s="673"/>
      <c r="C637" s="965"/>
      <c r="D637" s="442"/>
      <c r="E637" s="966" t="s">
        <v>448</v>
      </c>
      <c r="F637" s="967"/>
      <c r="G637" s="967"/>
      <c r="H637" s="967">
        <v>0</v>
      </c>
      <c r="I637" s="704"/>
      <c r="J637" s="704"/>
      <c r="K637" s="532"/>
      <c r="L637" s="967"/>
      <c r="M637" s="967"/>
      <c r="N637" s="968">
        <v>0</v>
      </c>
      <c r="O637" s="874"/>
      <c r="P637" s="960"/>
      <c r="Q637" s="822"/>
      <c r="R637" s="961"/>
    </row>
    <row r="638" spans="1:18" s="444" customFormat="1" ht="36" customHeight="1">
      <c r="A638" s="672"/>
      <c r="B638" s="673"/>
      <c r="C638" s="965"/>
      <c r="D638" s="442"/>
      <c r="E638" s="966" t="s">
        <v>449</v>
      </c>
      <c r="F638" s="967"/>
      <c r="G638" s="967"/>
      <c r="H638" s="967">
        <v>0</v>
      </c>
      <c r="I638" s="704"/>
      <c r="J638" s="704"/>
      <c r="K638" s="532"/>
      <c r="L638" s="967"/>
      <c r="M638" s="967"/>
      <c r="N638" s="968">
        <v>0</v>
      </c>
      <c r="O638" s="874"/>
      <c r="P638" s="960"/>
      <c r="Q638" s="822"/>
      <c r="R638" s="961"/>
    </row>
    <row r="639" spans="1:18" s="444" customFormat="1" ht="36" customHeight="1">
      <c r="A639" s="672"/>
      <c r="B639" s="673"/>
      <c r="C639" s="965"/>
      <c r="D639" s="442"/>
      <c r="E639" s="966" t="s">
        <v>450</v>
      </c>
      <c r="F639" s="967"/>
      <c r="G639" s="967"/>
      <c r="H639" s="967">
        <v>0</v>
      </c>
      <c r="I639" s="704"/>
      <c r="J639" s="704"/>
      <c r="K639" s="532"/>
      <c r="L639" s="967"/>
      <c r="M639" s="967"/>
      <c r="N639" s="968">
        <v>0</v>
      </c>
      <c r="O639" s="874"/>
      <c r="P639" s="960"/>
      <c r="Q639" s="822"/>
      <c r="R639" s="961"/>
    </row>
    <row r="640" spans="1:18" s="444" customFormat="1" ht="36" customHeight="1">
      <c r="A640" s="672"/>
      <c r="B640" s="673"/>
      <c r="C640" s="965"/>
      <c r="D640" s="442"/>
      <c r="E640" s="966" t="s">
        <v>451</v>
      </c>
      <c r="F640" s="967"/>
      <c r="G640" s="967"/>
      <c r="H640" s="967">
        <v>0</v>
      </c>
      <c r="I640" s="704"/>
      <c r="J640" s="704"/>
      <c r="K640" s="532"/>
      <c r="L640" s="967"/>
      <c r="M640" s="967"/>
      <c r="N640" s="968">
        <v>0</v>
      </c>
      <c r="O640" s="874"/>
      <c r="P640" s="960"/>
      <c r="Q640" s="822"/>
      <c r="R640" s="961"/>
    </row>
    <row r="641" spans="1:18" s="444" customFormat="1" ht="82.5" customHeight="1">
      <c r="A641" s="672"/>
      <c r="B641" s="673"/>
      <c r="C641" s="965"/>
      <c r="D641" s="442"/>
      <c r="E641" s="969" t="s">
        <v>505</v>
      </c>
      <c r="F641" s="967"/>
      <c r="G641" s="967"/>
      <c r="H641" s="967">
        <v>4300</v>
      </c>
      <c r="I641" s="704"/>
      <c r="J641" s="704"/>
      <c r="K641" s="532"/>
      <c r="L641" s="967"/>
      <c r="M641" s="967"/>
      <c r="N641" s="968">
        <v>5205.91</v>
      </c>
      <c r="O641" s="874"/>
      <c r="P641" s="960"/>
      <c r="Q641" s="822"/>
      <c r="R641" s="961"/>
    </row>
    <row r="642" spans="1:18" s="444" customFormat="1" ht="84" customHeight="1">
      <c r="A642" s="672"/>
      <c r="B642" s="673"/>
      <c r="C642" s="965"/>
      <c r="D642" s="442"/>
      <c r="E642" s="966" t="s">
        <v>453</v>
      </c>
      <c r="F642" s="967"/>
      <c r="G642" s="967"/>
      <c r="H642" s="967">
        <v>0</v>
      </c>
      <c r="I642" s="704"/>
      <c r="J642" s="704"/>
      <c r="K642" s="532"/>
      <c r="L642" s="967"/>
      <c r="M642" s="967"/>
      <c r="N642" s="968">
        <v>0</v>
      </c>
      <c r="O642" s="874"/>
      <c r="P642" s="960"/>
      <c r="Q642" s="822"/>
      <c r="R642" s="961"/>
    </row>
    <row r="643" spans="1:18" s="444" customFormat="1" ht="61.5" customHeight="1">
      <c r="A643" s="672"/>
      <c r="B643" s="673"/>
      <c r="C643" s="965"/>
      <c r="D643" s="442"/>
      <c r="E643" s="966" t="s">
        <v>499</v>
      </c>
      <c r="F643" s="967"/>
      <c r="G643" s="967"/>
      <c r="H643" s="967">
        <v>0</v>
      </c>
      <c r="I643" s="704"/>
      <c r="J643" s="704"/>
      <c r="K643" s="532"/>
      <c r="L643" s="967"/>
      <c r="M643" s="967"/>
      <c r="N643" s="968">
        <v>1170.99</v>
      </c>
      <c r="O643" s="874"/>
      <c r="P643" s="960"/>
      <c r="Q643" s="822"/>
      <c r="R643" s="961"/>
    </row>
    <row r="644" spans="1:18" s="444" customFormat="1" ht="54.75" customHeight="1">
      <c r="A644" s="672"/>
      <c r="B644" s="673"/>
      <c r="C644" s="965"/>
      <c r="D644" s="442"/>
      <c r="E644" s="966" t="s">
        <v>455</v>
      </c>
      <c r="F644" s="967"/>
      <c r="G644" s="967"/>
      <c r="H644" s="967">
        <v>0</v>
      </c>
      <c r="I644" s="704"/>
      <c r="J644" s="704"/>
      <c r="K644" s="532"/>
      <c r="L644" s="967"/>
      <c r="M644" s="967"/>
      <c r="N644" s="968">
        <v>2024.81</v>
      </c>
      <c r="O644" s="874"/>
      <c r="P644" s="960"/>
      <c r="Q644" s="822"/>
      <c r="R644" s="961"/>
    </row>
    <row r="645" spans="1:18" s="444" customFormat="1" ht="54.75" customHeight="1">
      <c r="A645" s="672"/>
      <c r="B645" s="673"/>
      <c r="C645" s="965"/>
      <c r="D645" s="442"/>
      <c r="E645" s="966" t="s">
        <v>456</v>
      </c>
      <c r="F645" s="967"/>
      <c r="G645" s="967"/>
      <c r="H645" s="967">
        <v>0</v>
      </c>
      <c r="I645" s="704"/>
      <c r="J645" s="704"/>
      <c r="K645" s="532"/>
      <c r="L645" s="967"/>
      <c r="M645" s="967"/>
      <c r="N645" s="968">
        <v>750</v>
      </c>
      <c r="O645" s="874"/>
      <c r="P645" s="960"/>
      <c r="Q645" s="822"/>
      <c r="R645" s="961"/>
    </row>
    <row r="646" spans="1:18" s="444" customFormat="1" ht="54.75" customHeight="1">
      <c r="A646" s="672"/>
      <c r="B646" s="673"/>
      <c r="C646" s="965"/>
      <c r="D646" s="442"/>
      <c r="E646" s="966" t="s">
        <v>457</v>
      </c>
      <c r="F646" s="967"/>
      <c r="G646" s="967"/>
      <c r="H646" s="967">
        <v>0</v>
      </c>
      <c r="I646" s="704"/>
      <c r="J646" s="704"/>
      <c r="K646" s="532"/>
      <c r="L646" s="967"/>
      <c r="M646" s="967"/>
      <c r="N646" s="968">
        <v>494.49</v>
      </c>
      <c r="O646" s="874"/>
      <c r="P646" s="960"/>
      <c r="Q646" s="822"/>
      <c r="R646" s="961"/>
    </row>
    <row r="647" spans="1:18" s="444" customFormat="1" ht="54.75" customHeight="1">
      <c r="A647" s="672"/>
      <c r="B647" s="673"/>
      <c r="C647" s="965"/>
      <c r="D647" s="442"/>
      <c r="E647" s="966" t="s">
        <v>458</v>
      </c>
      <c r="F647" s="967"/>
      <c r="G647" s="967"/>
      <c r="H647" s="967">
        <v>0</v>
      </c>
      <c r="I647" s="704"/>
      <c r="J647" s="704"/>
      <c r="K647" s="532"/>
      <c r="L647" s="967"/>
      <c r="M647" s="967"/>
      <c r="N647" s="968">
        <v>0</v>
      </c>
      <c r="O647" s="874"/>
      <c r="P647" s="960"/>
      <c r="Q647" s="822"/>
      <c r="R647" s="961"/>
    </row>
    <row r="648" spans="1:18" s="444" customFormat="1" ht="36" customHeight="1">
      <c r="A648" s="672"/>
      <c r="B648" s="673"/>
      <c r="C648" s="965"/>
      <c r="D648" s="442"/>
      <c r="E648" s="966" t="s">
        <v>459</v>
      </c>
      <c r="F648" s="970"/>
      <c r="G648" s="970"/>
      <c r="H648" s="967">
        <v>32231.32</v>
      </c>
      <c r="I648" s="704"/>
      <c r="J648" s="704"/>
      <c r="K648" s="532"/>
      <c r="L648" s="970"/>
      <c r="M648" s="970"/>
      <c r="N648" s="968">
        <v>30781.87</v>
      </c>
      <c r="O648" s="874"/>
      <c r="P648" s="960"/>
      <c r="Q648" s="822"/>
      <c r="R648" s="961"/>
    </row>
    <row r="649" spans="1:18" s="444" customFormat="1" ht="36" customHeight="1">
      <c r="A649" s="672"/>
      <c r="B649" s="673"/>
      <c r="C649" s="965"/>
      <c r="D649" s="442"/>
      <c r="E649" s="966" t="s">
        <v>460</v>
      </c>
      <c r="F649" s="970"/>
      <c r="G649" s="970"/>
      <c r="H649" s="967">
        <v>0</v>
      </c>
      <c r="I649" s="704"/>
      <c r="J649" s="704"/>
      <c r="K649" s="532"/>
      <c r="L649" s="970"/>
      <c r="M649" s="970"/>
      <c r="N649" s="968">
        <v>2648.64</v>
      </c>
      <c r="O649" s="874"/>
      <c r="P649" s="960"/>
      <c r="Q649" s="822"/>
      <c r="R649" s="961"/>
    </row>
    <row r="650" spans="1:18" s="444" customFormat="1" ht="36" customHeight="1">
      <c r="A650" s="672"/>
      <c r="B650" s="673"/>
      <c r="C650" s="965"/>
      <c r="D650" s="442"/>
      <c r="E650" s="966" t="s">
        <v>461</v>
      </c>
      <c r="F650" s="970"/>
      <c r="G650" s="970"/>
      <c r="H650" s="967">
        <v>692</v>
      </c>
      <c r="I650" s="704"/>
      <c r="J650" s="704"/>
      <c r="K650" s="532"/>
      <c r="L650" s="970"/>
      <c r="M650" s="970"/>
      <c r="N650" s="968">
        <v>746</v>
      </c>
      <c r="O650" s="874"/>
      <c r="P650" s="960"/>
      <c r="Q650" s="822"/>
      <c r="R650" s="961"/>
    </row>
    <row r="651" spans="1:18" s="444" customFormat="1" ht="36" customHeight="1">
      <c r="A651" s="672"/>
      <c r="B651" s="673"/>
      <c r="C651" s="965"/>
      <c r="D651" s="442"/>
      <c r="E651" s="966" t="s">
        <v>462</v>
      </c>
      <c r="F651" s="970"/>
      <c r="G651" s="970"/>
      <c r="H651" s="967">
        <v>35817</v>
      </c>
      <c r="I651" s="704"/>
      <c r="J651" s="704"/>
      <c r="K651" s="532"/>
      <c r="L651" s="970"/>
      <c r="M651" s="970"/>
      <c r="N651" s="968">
        <v>63172</v>
      </c>
      <c r="O651" s="874"/>
      <c r="P651" s="960"/>
      <c r="Q651" s="822"/>
      <c r="R651" s="961"/>
    </row>
    <row r="652" spans="1:18" s="444" customFormat="1" ht="36" customHeight="1">
      <c r="A652" s="672"/>
      <c r="B652" s="673"/>
      <c r="C652" s="965"/>
      <c r="D652" s="442"/>
      <c r="E652" s="966" t="s">
        <v>463</v>
      </c>
      <c r="F652" s="970"/>
      <c r="G652" s="970"/>
      <c r="H652" s="967">
        <v>0</v>
      </c>
      <c r="I652" s="704"/>
      <c r="J652" s="704"/>
      <c r="K652" s="532"/>
      <c r="L652" s="970"/>
      <c r="M652" s="970"/>
      <c r="N652" s="968">
        <v>0</v>
      </c>
      <c r="O652" s="874"/>
      <c r="P652" s="960"/>
      <c r="Q652" s="822"/>
      <c r="R652" s="961"/>
    </row>
    <row r="653" spans="1:18" s="444" customFormat="1" ht="54.75" customHeight="1">
      <c r="A653" s="672"/>
      <c r="B653" s="673"/>
      <c r="C653" s="965"/>
      <c r="D653" s="442"/>
      <c r="E653" s="966" t="s">
        <v>464</v>
      </c>
      <c r="F653" s="970"/>
      <c r="G653" s="970"/>
      <c r="H653" s="967">
        <v>0</v>
      </c>
      <c r="I653" s="704"/>
      <c r="J653" s="704"/>
      <c r="K653" s="532"/>
      <c r="L653" s="970"/>
      <c r="M653" s="970"/>
      <c r="N653" s="968">
        <v>0</v>
      </c>
      <c r="O653" s="874"/>
      <c r="P653" s="960"/>
      <c r="Q653" s="822"/>
      <c r="R653" s="961"/>
    </row>
    <row r="654" spans="1:18" s="444" customFormat="1" ht="36" customHeight="1">
      <c r="A654" s="672"/>
      <c r="B654" s="673"/>
      <c r="C654" s="965"/>
      <c r="D654" s="442"/>
      <c r="E654" s="966" t="s">
        <v>465</v>
      </c>
      <c r="F654" s="970"/>
      <c r="G654" s="970"/>
      <c r="H654" s="967">
        <v>0</v>
      </c>
      <c r="I654" s="704"/>
      <c r="J654" s="704"/>
      <c r="K654" s="532"/>
      <c r="L654" s="970"/>
      <c r="M654" s="970"/>
      <c r="N654" s="968">
        <v>0</v>
      </c>
      <c r="O654" s="874"/>
      <c r="P654" s="960"/>
      <c r="Q654" s="822"/>
      <c r="R654" s="961"/>
    </row>
    <row r="655" spans="1:18" s="444" customFormat="1" ht="36" customHeight="1">
      <c r="A655" s="672"/>
      <c r="B655" s="673"/>
      <c r="C655" s="965"/>
      <c r="D655" s="442"/>
      <c r="E655" s="966" t="s">
        <v>466</v>
      </c>
      <c r="F655" s="970"/>
      <c r="G655" s="970"/>
      <c r="H655" s="967">
        <v>0</v>
      </c>
      <c r="I655" s="704"/>
      <c r="J655" s="704"/>
      <c r="K655" s="532"/>
      <c r="L655" s="970"/>
      <c r="M655" s="970"/>
      <c r="N655" s="968">
        <v>40</v>
      </c>
      <c r="O655" s="874"/>
      <c r="P655" s="960"/>
      <c r="Q655" s="822"/>
      <c r="R655" s="961"/>
    </row>
    <row r="656" spans="1:18" s="444" customFormat="1" ht="145.5" customHeight="1">
      <c r="A656" s="672"/>
      <c r="B656" s="673"/>
      <c r="C656" s="965"/>
      <c r="D656" s="442"/>
      <c r="E656" s="966" t="s">
        <v>857</v>
      </c>
      <c r="F656" s="970"/>
      <c r="G656" s="970"/>
      <c r="H656" s="967">
        <v>1674.81</v>
      </c>
      <c r="I656" s="704"/>
      <c r="J656" s="704"/>
      <c r="K656" s="532"/>
      <c r="L656" s="970"/>
      <c r="M656" s="970"/>
      <c r="N656" s="968">
        <f>8614.63+272.45</f>
        <v>8887.08</v>
      </c>
      <c r="O656" s="874"/>
      <c r="P656" s="960"/>
      <c r="Q656" s="822"/>
      <c r="R656" s="961"/>
    </row>
    <row r="657" spans="1:18" s="444" customFormat="1" ht="57" customHeight="1">
      <c r="A657" s="672"/>
      <c r="B657" s="673"/>
      <c r="C657" s="965"/>
      <c r="D657" s="442"/>
      <c r="E657" s="950" t="s">
        <v>467</v>
      </c>
      <c r="F657" s="955">
        <v>117300</v>
      </c>
      <c r="G657" s="955">
        <v>111778</v>
      </c>
      <c r="H657" s="955">
        <v>74715.13</v>
      </c>
      <c r="I657" s="704"/>
      <c r="J657" s="704"/>
      <c r="K657" s="532"/>
      <c r="L657" s="955">
        <v>0</v>
      </c>
      <c r="M657" s="955">
        <v>0</v>
      </c>
      <c r="N657" s="955">
        <v>0</v>
      </c>
      <c r="O657" s="932">
        <v>0</v>
      </c>
      <c r="P657" s="960" t="s">
        <v>286</v>
      </c>
      <c r="Q657" s="822"/>
      <c r="R657" s="961"/>
    </row>
    <row r="658" spans="1:18" s="269" customFormat="1" ht="50.1" customHeight="1">
      <c r="A658" s="558"/>
      <c r="B658" s="64"/>
      <c r="C658" s="458">
        <v>3</v>
      </c>
      <c r="D658" s="459"/>
      <c r="E658" s="284" t="s">
        <v>49</v>
      </c>
      <c r="F658" s="526"/>
      <c r="G658" s="526"/>
      <c r="H658" s="526"/>
      <c r="I658" s="526"/>
      <c r="J658" s="526"/>
      <c r="K658" s="457">
        <f>1320000+5400+1000+58000+63308+59792+3500</f>
        <v>1511000</v>
      </c>
      <c r="L658" s="457">
        <f>L659+L678+L700</f>
        <v>1511000</v>
      </c>
      <c r="M658" s="457">
        <f t="shared" ref="M658:N658" si="116">M659+M678+M700</f>
        <v>1510619</v>
      </c>
      <c r="N658" s="457">
        <f t="shared" si="116"/>
        <v>729772.67999999993</v>
      </c>
      <c r="O658" s="877">
        <f>N658/M658</f>
        <v>0.48309512855326192</v>
      </c>
      <c r="P658" s="761" t="s">
        <v>286</v>
      </c>
    </row>
    <row r="659" spans="1:18" s="435" customFormat="1" ht="39.9" customHeight="1">
      <c r="A659" s="705"/>
      <c r="B659" s="949"/>
      <c r="C659" s="463"/>
      <c r="D659" s="448"/>
      <c r="E659" s="950" t="s">
        <v>435</v>
      </c>
      <c r="F659" s="951"/>
      <c r="G659" s="952"/>
      <c r="H659" s="952"/>
      <c r="I659" s="952"/>
      <c r="J659" s="953"/>
      <c r="K659" s="954"/>
      <c r="L659" s="955">
        <v>1325400</v>
      </c>
      <c r="M659" s="955">
        <v>1321493</v>
      </c>
      <c r="N659" s="956">
        <f>SUM(N661:N677)</f>
        <v>620852.46</v>
      </c>
      <c r="O659" s="932">
        <f>N659/M659</f>
        <v>0.46981138757450852</v>
      </c>
      <c r="P659" s="957" t="s">
        <v>286</v>
      </c>
      <c r="Q659" s="823"/>
      <c r="R659" s="958"/>
    </row>
    <row r="660" spans="1:18" s="444" customFormat="1" ht="34.5" customHeight="1">
      <c r="A660" s="672"/>
      <c r="B660" s="673"/>
      <c r="C660" s="454"/>
      <c r="D660" s="442"/>
      <c r="E660" s="959" t="s">
        <v>16</v>
      </c>
      <c r="F660" s="703"/>
      <c r="G660" s="704"/>
      <c r="H660" s="704"/>
      <c r="I660" s="704"/>
      <c r="J660" s="704"/>
      <c r="K660" s="389"/>
      <c r="L660" s="666"/>
      <c r="M660" s="666" t="s">
        <v>244</v>
      </c>
      <c r="N660" s="666"/>
      <c r="O660" s="874"/>
      <c r="P660" s="960"/>
      <c r="Q660" s="822"/>
      <c r="R660" s="961"/>
    </row>
    <row r="661" spans="1:18" s="444" customFormat="1" ht="57" customHeight="1">
      <c r="A661" s="672"/>
      <c r="B661" s="673"/>
      <c r="C661" s="454"/>
      <c r="D661" s="429"/>
      <c r="E661" s="962" t="s">
        <v>511</v>
      </c>
      <c r="F661" s="703"/>
      <c r="G661" s="704"/>
      <c r="H661" s="704"/>
      <c r="I661" s="704"/>
      <c r="J661" s="704"/>
      <c r="K661" s="389"/>
      <c r="L661" s="963"/>
      <c r="M661" s="963"/>
      <c r="N661" s="964">
        <v>234557.12</v>
      </c>
      <c r="O661" s="874"/>
      <c r="P661" s="960"/>
      <c r="Q661" s="822"/>
      <c r="R661" s="961"/>
    </row>
    <row r="662" spans="1:18" s="444" customFormat="1" ht="57" customHeight="1">
      <c r="A662" s="672"/>
      <c r="B662" s="673"/>
      <c r="C662" s="454"/>
      <c r="D662" s="442"/>
      <c r="E662" s="962" t="s">
        <v>512</v>
      </c>
      <c r="F662" s="703"/>
      <c r="G662" s="704"/>
      <c r="H662" s="704"/>
      <c r="I662" s="704"/>
      <c r="J662" s="704"/>
      <c r="K662" s="389"/>
      <c r="L662" s="963"/>
      <c r="M662" s="963"/>
      <c r="N662" s="964">
        <v>74464.800000000003</v>
      </c>
      <c r="O662" s="874"/>
      <c r="P662" s="960"/>
      <c r="Q662" s="822"/>
      <c r="R662" s="961"/>
    </row>
    <row r="663" spans="1:18" s="444" customFormat="1" ht="36" customHeight="1">
      <c r="A663" s="672"/>
      <c r="B663" s="673"/>
      <c r="C663" s="454"/>
      <c r="D663" s="442"/>
      <c r="E663" s="962" t="s">
        <v>477</v>
      </c>
      <c r="F663" s="703"/>
      <c r="G663" s="704"/>
      <c r="H663" s="704"/>
      <c r="I663" s="704"/>
      <c r="J663" s="704"/>
      <c r="K663" s="389"/>
      <c r="L663" s="963"/>
      <c r="M663" s="963"/>
      <c r="N663" s="964">
        <v>0</v>
      </c>
      <c r="O663" s="874"/>
      <c r="P663" s="960"/>
      <c r="Q663" s="822"/>
      <c r="R663" s="961"/>
    </row>
    <row r="664" spans="1:18" s="444" customFormat="1" ht="57" customHeight="1">
      <c r="A664" s="672"/>
      <c r="B664" s="673"/>
      <c r="C664" s="454"/>
      <c r="D664" s="442"/>
      <c r="E664" s="962" t="s">
        <v>513</v>
      </c>
      <c r="F664" s="703"/>
      <c r="G664" s="704"/>
      <c r="H664" s="704"/>
      <c r="I664" s="704"/>
      <c r="J664" s="704"/>
      <c r="K664" s="389"/>
      <c r="L664" s="963"/>
      <c r="M664" s="963"/>
      <c r="N664" s="964">
        <v>14090.83</v>
      </c>
      <c r="O664" s="874"/>
      <c r="P664" s="960"/>
      <c r="Q664" s="822"/>
      <c r="R664" s="961"/>
    </row>
    <row r="665" spans="1:18" s="444" customFormat="1" ht="36" customHeight="1">
      <c r="A665" s="672"/>
      <c r="B665" s="673"/>
      <c r="C665" s="454"/>
      <c r="D665" s="442"/>
      <c r="E665" s="962" t="s">
        <v>479</v>
      </c>
      <c r="F665" s="703"/>
      <c r="G665" s="704"/>
      <c r="H665" s="704"/>
      <c r="I665" s="704"/>
      <c r="J665" s="704"/>
      <c r="K665" s="389"/>
      <c r="L665" s="963"/>
      <c r="M665" s="963"/>
      <c r="N665" s="964">
        <v>0</v>
      </c>
      <c r="O665" s="874"/>
      <c r="P665" s="960"/>
      <c r="Q665" s="822"/>
      <c r="R665" s="961"/>
    </row>
    <row r="666" spans="1:18" s="444" customFormat="1" ht="36" customHeight="1">
      <c r="A666" s="672"/>
      <c r="B666" s="673"/>
      <c r="C666" s="454"/>
      <c r="D666" s="442"/>
      <c r="E666" s="962" t="s">
        <v>437</v>
      </c>
      <c r="F666" s="703"/>
      <c r="G666" s="704"/>
      <c r="H666" s="704"/>
      <c r="I666" s="704"/>
      <c r="J666" s="704"/>
      <c r="K666" s="389"/>
      <c r="L666" s="963"/>
      <c r="M666" s="963"/>
      <c r="N666" s="964">
        <v>0</v>
      </c>
      <c r="O666" s="874"/>
      <c r="P666" s="960"/>
      <c r="Q666" s="822"/>
      <c r="R666" s="961"/>
    </row>
    <row r="667" spans="1:18" s="444" customFormat="1" ht="36" customHeight="1">
      <c r="A667" s="672"/>
      <c r="B667" s="673"/>
      <c r="C667" s="454"/>
      <c r="D667" s="442"/>
      <c r="E667" s="962" t="s">
        <v>438</v>
      </c>
      <c r="F667" s="703"/>
      <c r="G667" s="704"/>
      <c r="H667" s="704"/>
      <c r="I667" s="704"/>
      <c r="J667" s="704"/>
      <c r="K667" s="389"/>
      <c r="L667" s="963"/>
      <c r="M667" s="963"/>
      <c r="N667" s="964">
        <v>0</v>
      </c>
      <c r="O667" s="874"/>
      <c r="P667" s="960"/>
      <c r="Q667" s="822"/>
      <c r="R667" s="961"/>
    </row>
    <row r="668" spans="1:18" s="444" customFormat="1" ht="36" customHeight="1">
      <c r="A668" s="672"/>
      <c r="B668" s="673"/>
      <c r="C668" s="454"/>
      <c r="D668" s="442"/>
      <c r="E668" s="962" t="s">
        <v>514</v>
      </c>
      <c r="F668" s="703"/>
      <c r="G668" s="704"/>
      <c r="H668" s="704"/>
      <c r="I668" s="704"/>
      <c r="J668" s="704"/>
      <c r="K668" s="389"/>
      <c r="L668" s="963"/>
      <c r="M668" s="963"/>
      <c r="N668" s="964">
        <v>0</v>
      </c>
      <c r="O668" s="874"/>
      <c r="P668" s="960"/>
      <c r="Q668" s="822"/>
      <c r="R668" s="961"/>
    </row>
    <row r="669" spans="1:18" s="444" customFormat="1" ht="36" customHeight="1">
      <c r="A669" s="672"/>
      <c r="B669" s="673"/>
      <c r="C669" s="454"/>
      <c r="D669" s="442"/>
      <c r="E669" s="962" t="s">
        <v>439</v>
      </c>
      <c r="F669" s="703"/>
      <c r="G669" s="704"/>
      <c r="H669" s="704"/>
      <c r="I669" s="704"/>
      <c r="J669" s="704"/>
      <c r="K669" s="389"/>
      <c r="L669" s="963"/>
      <c r="M669" s="963"/>
      <c r="N669" s="964">
        <v>0</v>
      </c>
      <c r="O669" s="874"/>
      <c r="P669" s="960"/>
      <c r="Q669" s="822"/>
      <c r="R669" s="961"/>
    </row>
    <row r="670" spans="1:18" s="444" customFormat="1" ht="36" customHeight="1">
      <c r="A670" s="672"/>
      <c r="B670" s="673"/>
      <c r="C670" s="454"/>
      <c r="D670" s="442"/>
      <c r="E670" s="962" t="s">
        <v>440</v>
      </c>
      <c r="F670" s="703"/>
      <c r="G670" s="704"/>
      <c r="H670" s="704"/>
      <c r="I670" s="704"/>
      <c r="J670" s="704"/>
      <c r="K670" s="389"/>
      <c r="L670" s="963"/>
      <c r="M670" s="963"/>
      <c r="N670" s="964">
        <v>0</v>
      </c>
      <c r="O670" s="874"/>
      <c r="P670" s="960"/>
      <c r="Q670" s="822"/>
      <c r="R670" s="961"/>
    </row>
    <row r="671" spans="1:18" s="444" customFormat="1" ht="36" customHeight="1">
      <c r="A671" s="672"/>
      <c r="B671" s="673"/>
      <c r="C671" s="454"/>
      <c r="D671" s="442"/>
      <c r="E671" s="962" t="s">
        <v>441</v>
      </c>
      <c r="F671" s="703"/>
      <c r="G671" s="704"/>
      <c r="H671" s="704"/>
      <c r="I671" s="704"/>
      <c r="J671" s="704"/>
      <c r="K671" s="389"/>
      <c r="L671" s="963"/>
      <c r="M671" s="963"/>
      <c r="N671" s="964">
        <v>0</v>
      </c>
      <c r="O671" s="874"/>
      <c r="P671" s="960"/>
      <c r="Q671" s="822"/>
      <c r="R671" s="961"/>
    </row>
    <row r="672" spans="1:18" s="444" customFormat="1" ht="57" customHeight="1">
      <c r="A672" s="672"/>
      <c r="B672" s="673"/>
      <c r="C672" s="454"/>
      <c r="D672" s="442"/>
      <c r="E672" s="962" t="s">
        <v>515</v>
      </c>
      <c r="F672" s="703"/>
      <c r="G672" s="704"/>
      <c r="H672" s="704"/>
      <c r="I672" s="704"/>
      <c r="J672" s="704"/>
      <c r="K672" s="389"/>
      <c r="L672" s="963"/>
      <c r="M672" s="963"/>
      <c r="N672" s="964">
        <v>137508.62</v>
      </c>
      <c r="O672" s="874"/>
      <c r="P672" s="960"/>
      <c r="Q672" s="822"/>
      <c r="R672" s="961"/>
    </row>
    <row r="673" spans="1:18" s="444" customFormat="1" ht="36" customHeight="1">
      <c r="A673" s="672"/>
      <c r="B673" s="673"/>
      <c r="C673" s="454"/>
      <c r="D673" s="442"/>
      <c r="E673" s="962" t="s">
        <v>442</v>
      </c>
      <c r="F673" s="703"/>
      <c r="G673" s="704"/>
      <c r="H673" s="704"/>
      <c r="I673" s="704"/>
      <c r="J673" s="704"/>
      <c r="K673" s="389"/>
      <c r="L673" s="963"/>
      <c r="M673" s="963"/>
      <c r="N673" s="964">
        <v>0</v>
      </c>
      <c r="O673" s="874"/>
      <c r="P673" s="960"/>
      <c r="Q673" s="822"/>
      <c r="R673" s="961"/>
    </row>
    <row r="674" spans="1:18" s="444" customFormat="1" ht="36" customHeight="1">
      <c r="A674" s="672"/>
      <c r="B674" s="673"/>
      <c r="C674" s="454"/>
      <c r="D674" s="442"/>
      <c r="E674" s="962" t="s">
        <v>443</v>
      </c>
      <c r="F674" s="703"/>
      <c r="G674" s="704"/>
      <c r="H674" s="704"/>
      <c r="I674" s="704"/>
      <c r="J674" s="704"/>
      <c r="K674" s="389"/>
      <c r="L674" s="963"/>
      <c r="M674" s="963"/>
      <c r="N674" s="964">
        <v>63474.31</v>
      </c>
      <c r="O674" s="874"/>
      <c r="P674" s="960"/>
      <c r="Q674" s="822"/>
      <c r="R674" s="961"/>
    </row>
    <row r="675" spans="1:18" s="444" customFormat="1" ht="36" customHeight="1">
      <c r="A675" s="672"/>
      <c r="B675" s="673"/>
      <c r="C675" s="454"/>
      <c r="D675" s="442"/>
      <c r="E675" s="962" t="s">
        <v>444</v>
      </c>
      <c r="F675" s="703"/>
      <c r="G675" s="704"/>
      <c r="H675" s="704"/>
      <c r="I675" s="704"/>
      <c r="J675" s="704"/>
      <c r="K675" s="389"/>
      <c r="L675" s="963"/>
      <c r="M675" s="963"/>
      <c r="N675" s="964">
        <v>0</v>
      </c>
      <c r="O675" s="874"/>
      <c r="P675" s="960"/>
      <c r="Q675" s="822"/>
      <c r="R675" s="961"/>
    </row>
    <row r="676" spans="1:18" s="444" customFormat="1" ht="36" customHeight="1">
      <c r="A676" s="672"/>
      <c r="B676" s="673"/>
      <c r="C676" s="454"/>
      <c r="D676" s="442"/>
      <c r="E676" s="962" t="s">
        <v>485</v>
      </c>
      <c r="F676" s="703"/>
      <c r="G676" s="704"/>
      <c r="H676" s="704"/>
      <c r="I676" s="704"/>
      <c r="J676" s="704"/>
      <c r="K676" s="389"/>
      <c r="L676" s="963"/>
      <c r="M676" s="963"/>
      <c r="N676" s="964">
        <v>0</v>
      </c>
      <c r="O676" s="874"/>
      <c r="P676" s="960"/>
      <c r="Q676" s="822"/>
      <c r="R676" s="961"/>
    </row>
    <row r="677" spans="1:18" s="444" customFormat="1" ht="36" customHeight="1">
      <c r="A677" s="672"/>
      <c r="B677" s="673"/>
      <c r="C677" s="454"/>
      <c r="D677" s="442"/>
      <c r="E677" s="962" t="s">
        <v>445</v>
      </c>
      <c r="F677" s="703"/>
      <c r="G677" s="704"/>
      <c r="H677" s="704"/>
      <c r="I677" s="704"/>
      <c r="J677" s="704"/>
      <c r="K677" s="389"/>
      <c r="L677" s="963"/>
      <c r="M677" s="963"/>
      <c r="N677" s="964">
        <v>96756.78</v>
      </c>
      <c r="O677" s="874"/>
      <c r="P677" s="960"/>
      <c r="Q677" s="822"/>
      <c r="R677" s="961"/>
    </row>
    <row r="678" spans="1:18" s="444" customFormat="1" ht="57" customHeight="1">
      <c r="A678" s="672"/>
      <c r="B678" s="673"/>
      <c r="C678" s="965"/>
      <c r="D678" s="442"/>
      <c r="E678" s="950" t="s">
        <v>446</v>
      </c>
      <c r="F678" s="955">
        <v>117300</v>
      </c>
      <c r="G678" s="955">
        <v>111778</v>
      </c>
      <c r="H678" s="955">
        <v>74715.13</v>
      </c>
      <c r="I678" s="704"/>
      <c r="J678" s="704"/>
      <c r="K678" s="532"/>
      <c r="L678" s="955">
        <v>185600</v>
      </c>
      <c r="M678" s="955">
        <v>189126</v>
      </c>
      <c r="N678" s="956">
        <f>SUM(N679:N699)</f>
        <v>108920.22</v>
      </c>
      <c r="O678" s="932">
        <f>N678/M678</f>
        <v>0.57591351797214552</v>
      </c>
      <c r="P678" s="960" t="s">
        <v>286</v>
      </c>
      <c r="Q678" s="822"/>
      <c r="R678" s="961"/>
    </row>
    <row r="679" spans="1:18" s="444" customFormat="1" ht="82.95" customHeight="1">
      <c r="A679" s="672"/>
      <c r="B679" s="673"/>
      <c r="C679" s="965"/>
      <c r="D679" s="442"/>
      <c r="E679" s="966" t="s">
        <v>447</v>
      </c>
      <c r="F679" s="967"/>
      <c r="G679" s="967"/>
      <c r="H679" s="967">
        <v>0</v>
      </c>
      <c r="I679" s="704"/>
      <c r="J679" s="704"/>
      <c r="K679" s="532"/>
      <c r="L679" s="967"/>
      <c r="M679" s="967"/>
      <c r="N679" s="968">
        <v>460.8</v>
      </c>
      <c r="O679" s="874"/>
      <c r="P679" s="960"/>
      <c r="Q679" s="822"/>
      <c r="R679" s="961"/>
    </row>
    <row r="680" spans="1:18" s="444" customFormat="1" ht="36" customHeight="1">
      <c r="A680" s="672"/>
      <c r="B680" s="673"/>
      <c r="C680" s="965"/>
      <c r="D680" s="442"/>
      <c r="E680" s="966" t="s">
        <v>509</v>
      </c>
      <c r="F680" s="967"/>
      <c r="G680" s="967"/>
      <c r="H680" s="967">
        <v>0</v>
      </c>
      <c r="I680" s="704"/>
      <c r="J680" s="704"/>
      <c r="K680" s="532"/>
      <c r="L680" s="967"/>
      <c r="M680" s="967"/>
      <c r="N680" s="968">
        <v>300</v>
      </c>
      <c r="O680" s="874"/>
      <c r="P680" s="960"/>
      <c r="Q680" s="822"/>
      <c r="R680" s="961"/>
    </row>
    <row r="681" spans="1:18" s="444" customFormat="1" ht="36" customHeight="1">
      <c r="A681" s="672"/>
      <c r="B681" s="673"/>
      <c r="C681" s="965"/>
      <c r="D681" s="442"/>
      <c r="E681" s="966" t="s">
        <v>449</v>
      </c>
      <c r="F681" s="967"/>
      <c r="G681" s="967"/>
      <c r="H681" s="967">
        <v>0</v>
      </c>
      <c r="I681" s="704"/>
      <c r="J681" s="704"/>
      <c r="K681" s="532"/>
      <c r="L681" s="967"/>
      <c r="M681" s="967"/>
      <c r="N681" s="968">
        <v>0</v>
      </c>
      <c r="O681" s="874"/>
      <c r="P681" s="960"/>
      <c r="Q681" s="822"/>
      <c r="R681" s="961"/>
    </row>
    <row r="682" spans="1:18" s="444" customFormat="1" ht="36" customHeight="1">
      <c r="A682" s="672"/>
      <c r="B682" s="673"/>
      <c r="C682" s="965"/>
      <c r="D682" s="442"/>
      <c r="E682" s="966" t="s">
        <v>450</v>
      </c>
      <c r="F682" s="967"/>
      <c r="G682" s="967"/>
      <c r="H682" s="967">
        <v>0</v>
      </c>
      <c r="I682" s="704"/>
      <c r="J682" s="704"/>
      <c r="K682" s="532"/>
      <c r="L682" s="967"/>
      <c r="M682" s="967"/>
      <c r="N682" s="968">
        <v>0</v>
      </c>
      <c r="O682" s="874"/>
      <c r="P682" s="960"/>
      <c r="Q682" s="822"/>
      <c r="R682" s="961"/>
    </row>
    <row r="683" spans="1:18" s="444" customFormat="1" ht="36" customHeight="1">
      <c r="A683" s="672"/>
      <c r="B683" s="673"/>
      <c r="C683" s="965"/>
      <c r="D683" s="442"/>
      <c r="E683" s="966" t="s">
        <v>451</v>
      </c>
      <c r="F683" s="967"/>
      <c r="G683" s="967"/>
      <c r="H683" s="967">
        <v>0</v>
      </c>
      <c r="I683" s="704"/>
      <c r="J683" s="704"/>
      <c r="K683" s="532"/>
      <c r="L683" s="967"/>
      <c r="M683" s="967"/>
      <c r="N683" s="968">
        <v>0</v>
      </c>
      <c r="O683" s="874"/>
      <c r="P683" s="960"/>
      <c r="Q683" s="822"/>
      <c r="R683" s="961"/>
    </row>
    <row r="684" spans="1:18" s="444" customFormat="1" ht="61.5" customHeight="1">
      <c r="A684" s="672"/>
      <c r="B684" s="673"/>
      <c r="C684" s="965"/>
      <c r="D684" s="442"/>
      <c r="E684" s="969" t="s">
        <v>510</v>
      </c>
      <c r="F684" s="967"/>
      <c r="G684" s="967"/>
      <c r="H684" s="967">
        <v>4300</v>
      </c>
      <c r="I684" s="704"/>
      <c r="J684" s="704"/>
      <c r="K684" s="532"/>
      <c r="L684" s="967"/>
      <c r="M684" s="967"/>
      <c r="N684" s="968">
        <v>6249.86</v>
      </c>
      <c r="O684" s="874"/>
      <c r="P684" s="960"/>
      <c r="Q684" s="822"/>
      <c r="R684" s="961"/>
    </row>
    <row r="685" spans="1:18" s="444" customFormat="1" ht="84" customHeight="1">
      <c r="A685" s="672"/>
      <c r="B685" s="673"/>
      <c r="C685" s="965"/>
      <c r="D685" s="442"/>
      <c r="E685" s="966" t="s">
        <v>453</v>
      </c>
      <c r="F685" s="967"/>
      <c r="G685" s="967"/>
      <c r="H685" s="967">
        <v>0</v>
      </c>
      <c r="I685" s="704"/>
      <c r="J685" s="704"/>
      <c r="K685" s="532"/>
      <c r="L685" s="967"/>
      <c r="M685" s="967"/>
      <c r="N685" s="968">
        <v>0</v>
      </c>
      <c r="O685" s="874"/>
      <c r="P685" s="960"/>
      <c r="Q685" s="822"/>
      <c r="R685" s="961"/>
    </row>
    <row r="686" spans="1:18" s="444" customFormat="1" ht="61.5" customHeight="1">
      <c r="A686" s="672"/>
      <c r="B686" s="673"/>
      <c r="C686" s="965"/>
      <c r="D686" s="442"/>
      <c r="E686" s="966" t="s">
        <v>454</v>
      </c>
      <c r="F686" s="967"/>
      <c r="G686" s="967"/>
      <c r="H686" s="967">
        <v>0</v>
      </c>
      <c r="I686" s="704"/>
      <c r="J686" s="704"/>
      <c r="K686" s="532"/>
      <c r="L686" s="967"/>
      <c r="M686" s="967"/>
      <c r="N686" s="968">
        <v>0</v>
      </c>
      <c r="O686" s="874"/>
      <c r="P686" s="960"/>
      <c r="Q686" s="822"/>
      <c r="R686" s="961"/>
    </row>
    <row r="687" spans="1:18" s="444" customFormat="1" ht="36" customHeight="1">
      <c r="A687" s="672"/>
      <c r="B687" s="673"/>
      <c r="C687" s="965"/>
      <c r="D687" s="442"/>
      <c r="E687" s="966" t="s">
        <v>455</v>
      </c>
      <c r="F687" s="967"/>
      <c r="G687" s="967"/>
      <c r="H687" s="967">
        <v>0</v>
      </c>
      <c r="I687" s="704"/>
      <c r="J687" s="704"/>
      <c r="K687" s="532"/>
      <c r="L687" s="967"/>
      <c r="M687" s="967"/>
      <c r="N687" s="968">
        <v>1518.6</v>
      </c>
      <c r="O687" s="874"/>
      <c r="P687" s="960"/>
      <c r="Q687" s="822"/>
      <c r="R687" s="961"/>
    </row>
    <row r="688" spans="1:18" s="444" customFormat="1" ht="59.25" customHeight="1">
      <c r="A688" s="672"/>
      <c r="B688" s="673"/>
      <c r="C688" s="965"/>
      <c r="D688" s="442"/>
      <c r="E688" s="966" t="s">
        <v>456</v>
      </c>
      <c r="F688" s="967"/>
      <c r="G688" s="967"/>
      <c r="H688" s="967">
        <v>0</v>
      </c>
      <c r="I688" s="704"/>
      <c r="J688" s="704"/>
      <c r="K688" s="532"/>
      <c r="L688" s="967"/>
      <c r="M688" s="967"/>
      <c r="N688" s="968">
        <v>0</v>
      </c>
      <c r="O688" s="874"/>
      <c r="P688" s="960"/>
      <c r="Q688" s="822"/>
      <c r="R688" s="961"/>
    </row>
    <row r="689" spans="1:18" s="444" customFormat="1" ht="36" customHeight="1">
      <c r="A689" s="672"/>
      <c r="B689" s="673"/>
      <c r="C689" s="965"/>
      <c r="D689" s="442"/>
      <c r="E689" s="966" t="s">
        <v>457</v>
      </c>
      <c r="F689" s="967"/>
      <c r="G689" s="967"/>
      <c r="H689" s="967">
        <v>0</v>
      </c>
      <c r="I689" s="704"/>
      <c r="J689" s="704"/>
      <c r="K689" s="532"/>
      <c r="L689" s="967"/>
      <c r="M689" s="967"/>
      <c r="N689" s="968">
        <v>255.1</v>
      </c>
      <c r="O689" s="874"/>
      <c r="P689" s="960"/>
      <c r="Q689" s="822"/>
      <c r="R689" s="961"/>
    </row>
    <row r="690" spans="1:18" s="444" customFormat="1" ht="54.75" customHeight="1">
      <c r="A690" s="672"/>
      <c r="B690" s="673"/>
      <c r="C690" s="965"/>
      <c r="D690" s="442"/>
      <c r="E690" s="966" t="s">
        <v>458</v>
      </c>
      <c r="F690" s="967"/>
      <c r="G690" s="967"/>
      <c r="H690" s="967">
        <v>0</v>
      </c>
      <c r="I690" s="704"/>
      <c r="J690" s="704"/>
      <c r="K690" s="532"/>
      <c r="L690" s="967"/>
      <c r="M690" s="967"/>
      <c r="N690" s="968">
        <v>923.47</v>
      </c>
      <c r="O690" s="874"/>
      <c r="P690" s="960"/>
      <c r="Q690" s="822"/>
      <c r="R690" s="961"/>
    </row>
    <row r="691" spans="1:18" s="444" customFormat="1" ht="36" customHeight="1">
      <c r="A691" s="672"/>
      <c r="B691" s="673"/>
      <c r="C691" s="965"/>
      <c r="D691" s="442"/>
      <c r="E691" s="966" t="s">
        <v>459</v>
      </c>
      <c r="F691" s="970"/>
      <c r="G691" s="970"/>
      <c r="H691" s="967">
        <v>32231.32</v>
      </c>
      <c r="I691" s="704"/>
      <c r="J691" s="704"/>
      <c r="K691" s="532"/>
      <c r="L691" s="970"/>
      <c r="M691" s="970"/>
      <c r="N691" s="968">
        <v>31160.400000000001</v>
      </c>
      <c r="O691" s="874"/>
      <c r="P691" s="960"/>
      <c r="Q691" s="822"/>
      <c r="R691" s="961"/>
    </row>
    <row r="692" spans="1:18" s="444" customFormat="1" ht="36" customHeight="1">
      <c r="A692" s="672"/>
      <c r="B692" s="673"/>
      <c r="C692" s="965"/>
      <c r="D692" s="442"/>
      <c r="E692" s="966" t="s">
        <v>460</v>
      </c>
      <c r="F692" s="970"/>
      <c r="G692" s="970"/>
      <c r="H692" s="967">
        <v>0</v>
      </c>
      <c r="I692" s="704"/>
      <c r="J692" s="704"/>
      <c r="K692" s="532"/>
      <c r="L692" s="970"/>
      <c r="M692" s="970"/>
      <c r="N692" s="968">
        <v>3141.07</v>
      </c>
      <c r="O692" s="874"/>
      <c r="P692" s="960"/>
      <c r="Q692" s="822"/>
      <c r="R692" s="961"/>
    </row>
    <row r="693" spans="1:18" s="444" customFormat="1" ht="36" customHeight="1">
      <c r="A693" s="672"/>
      <c r="B693" s="673"/>
      <c r="C693" s="965"/>
      <c r="D693" s="442"/>
      <c r="E693" s="966" t="s">
        <v>461</v>
      </c>
      <c r="F693" s="970"/>
      <c r="G693" s="970"/>
      <c r="H693" s="967">
        <v>692</v>
      </c>
      <c r="I693" s="704"/>
      <c r="J693" s="704"/>
      <c r="K693" s="532"/>
      <c r="L693" s="970"/>
      <c r="M693" s="970"/>
      <c r="N693" s="968">
        <v>891</v>
      </c>
      <c r="O693" s="874"/>
      <c r="P693" s="960"/>
      <c r="Q693" s="822"/>
      <c r="R693" s="961"/>
    </row>
    <row r="694" spans="1:18" s="444" customFormat="1" ht="36" customHeight="1">
      <c r="A694" s="672"/>
      <c r="B694" s="673"/>
      <c r="C694" s="965"/>
      <c r="D694" s="442"/>
      <c r="E694" s="966" t="s">
        <v>462</v>
      </c>
      <c r="F694" s="970"/>
      <c r="G694" s="970"/>
      <c r="H694" s="967">
        <v>35817</v>
      </c>
      <c r="I694" s="704"/>
      <c r="J694" s="704"/>
      <c r="K694" s="532"/>
      <c r="L694" s="970"/>
      <c r="M694" s="970"/>
      <c r="N694" s="968">
        <v>50126</v>
      </c>
      <c r="O694" s="874"/>
      <c r="P694" s="960"/>
      <c r="Q694" s="822"/>
      <c r="R694" s="961"/>
    </row>
    <row r="695" spans="1:18" s="444" customFormat="1" ht="36" customHeight="1">
      <c r="A695" s="672"/>
      <c r="B695" s="673"/>
      <c r="C695" s="965"/>
      <c r="D695" s="442"/>
      <c r="E695" s="966" t="s">
        <v>463</v>
      </c>
      <c r="F695" s="970"/>
      <c r="G695" s="970"/>
      <c r="H695" s="967">
        <v>0</v>
      </c>
      <c r="I695" s="704"/>
      <c r="J695" s="704"/>
      <c r="K695" s="532"/>
      <c r="L695" s="970"/>
      <c r="M695" s="970"/>
      <c r="N695" s="968">
        <v>0</v>
      </c>
      <c r="O695" s="874"/>
      <c r="P695" s="960"/>
      <c r="Q695" s="822"/>
      <c r="R695" s="961"/>
    </row>
    <row r="696" spans="1:18" s="444" customFormat="1" ht="61.5" customHeight="1">
      <c r="A696" s="672"/>
      <c r="B696" s="673"/>
      <c r="C696" s="965"/>
      <c r="D696" s="442"/>
      <c r="E696" s="966" t="s">
        <v>464</v>
      </c>
      <c r="F696" s="970"/>
      <c r="G696" s="970"/>
      <c r="H696" s="967">
        <v>0</v>
      </c>
      <c r="I696" s="704"/>
      <c r="J696" s="704"/>
      <c r="K696" s="532"/>
      <c r="L696" s="970"/>
      <c r="M696" s="970"/>
      <c r="N696" s="968">
        <v>0</v>
      </c>
      <c r="O696" s="874"/>
      <c r="P696" s="960"/>
      <c r="Q696" s="822"/>
      <c r="R696" s="961"/>
    </row>
    <row r="697" spans="1:18" s="444" customFormat="1" ht="36" customHeight="1">
      <c r="A697" s="672"/>
      <c r="B697" s="673"/>
      <c r="C697" s="965"/>
      <c r="D697" s="442"/>
      <c r="E697" s="966" t="s">
        <v>465</v>
      </c>
      <c r="F697" s="970"/>
      <c r="G697" s="970"/>
      <c r="H697" s="967">
        <v>0</v>
      </c>
      <c r="I697" s="704"/>
      <c r="J697" s="704"/>
      <c r="K697" s="532"/>
      <c r="L697" s="970"/>
      <c r="M697" s="970"/>
      <c r="N697" s="968">
        <v>0</v>
      </c>
      <c r="O697" s="874"/>
      <c r="P697" s="960"/>
      <c r="Q697" s="822"/>
      <c r="R697" s="961"/>
    </row>
    <row r="698" spans="1:18" s="444" customFormat="1" ht="36" customHeight="1">
      <c r="A698" s="672"/>
      <c r="B698" s="673"/>
      <c r="C698" s="965"/>
      <c r="D698" s="442"/>
      <c r="E698" s="966" t="s">
        <v>466</v>
      </c>
      <c r="F698" s="970"/>
      <c r="G698" s="970"/>
      <c r="H698" s="967">
        <v>0</v>
      </c>
      <c r="I698" s="704"/>
      <c r="J698" s="704"/>
      <c r="K698" s="532"/>
      <c r="L698" s="970"/>
      <c r="M698" s="970"/>
      <c r="N698" s="968">
        <v>40</v>
      </c>
      <c r="O698" s="874"/>
      <c r="P698" s="960"/>
      <c r="Q698" s="822"/>
      <c r="R698" s="961"/>
    </row>
    <row r="699" spans="1:18" s="444" customFormat="1" ht="105.75" customHeight="1">
      <c r="A699" s="672"/>
      <c r="B699" s="673"/>
      <c r="C699" s="965"/>
      <c r="D699" s="442"/>
      <c r="E699" s="966" t="s">
        <v>516</v>
      </c>
      <c r="F699" s="970"/>
      <c r="G699" s="970"/>
      <c r="H699" s="967">
        <v>1674.81</v>
      </c>
      <c r="I699" s="704"/>
      <c r="J699" s="704"/>
      <c r="K699" s="532"/>
      <c r="L699" s="970"/>
      <c r="M699" s="970"/>
      <c r="N699" s="968">
        <v>13853.92</v>
      </c>
      <c r="O699" s="874"/>
      <c r="P699" s="960"/>
      <c r="Q699" s="822"/>
      <c r="R699" s="961"/>
    </row>
    <row r="700" spans="1:18" s="444" customFormat="1" ht="57" customHeight="1">
      <c r="A700" s="672"/>
      <c r="B700" s="673"/>
      <c r="C700" s="965"/>
      <c r="D700" s="442"/>
      <c r="E700" s="950" t="s">
        <v>467</v>
      </c>
      <c r="F700" s="955">
        <v>117300</v>
      </c>
      <c r="G700" s="955">
        <v>111778</v>
      </c>
      <c r="H700" s="955">
        <v>74715.13</v>
      </c>
      <c r="I700" s="704"/>
      <c r="J700" s="704"/>
      <c r="K700" s="532"/>
      <c r="L700" s="955">
        <v>0</v>
      </c>
      <c r="M700" s="955">
        <v>0</v>
      </c>
      <c r="N700" s="955">
        <v>0</v>
      </c>
      <c r="O700" s="932">
        <v>0</v>
      </c>
      <c r="P700" s="960" t="s">
        <v>286</v>
      </c>
      <c r="Q700" s="822"/>
      <c r="R700" s="961"/>
    </row>
    <row r="701" spans="1:18" s="269" customFormat="1" ht="50.1" customHeight="1">
      <c r="A701" s="558"/>
      <c r="B701" s="64"/>
      <c r="C701" s="458">
        <v>4</v>
      </c>
      <c r="D701" s="459"/>
      <c r="E701" s="282" t="s">
        <v>48</v>
      </c>
      <c r="F701" s="526"/>
      <c r="G701" s="526"/>
      <c r="H701" s="526"/>
      <c r="I701" s="526"/>
      <c r="J701" s="526"/>
      <c r="K701" s="457">
        <f>2433000+5400+1000+94000+95862+84238+4500</f>
        <v>2718000</v>
      </c>
      <c r="L701" s="457">
        <f>L702+L721+L743</f>
        <v>2718000</v>
      </c>
      <c r="M701" s="457">
        <f t="shared" ref="M701:N701" si="117">M702+M721+M743</f>
        <v>2716497</v>
      </c>
      <c r="N701" s="457">
        <f t="shared" si="117"/>
        <v>1271806.4099999999</v>
      </c>
      <c r="O701" s="877">
        <f>N701/M701</f>
        <v>0.46817883840843555</v>
      </c>
      <c r="P701" s="761" t="s">
        <v>286</v>
      </c>
    </row>
    <row r="702" spans="1:18" s="435" customFormat="1" ht="39.9" customHeight="1">
      <c r="A702" s="705"/>
      <c r="B702" s="949"/>
      <c r="C702" s="463"/>
      <c r="D702" s="448"/>
      <c r="E702" s="950" t="s">
        <v>435</v>
      </c>
      <c r="F702" s="951"/>
      <c r="G702" s="952"/>
      <c r="H702" s="952"/>
      <c r="I702" s="952"/>
      <c r="J702" s="953"/>
      <c r="K702" s="954"/>
      <c r="L702" s="955">
        <v>2427624</v>
      </c>
      <c r="M702" s="955">
        <v>2419906</v>
      </c>
      <c r="N702" s="956">
        <f>SUM(N704:N720)</f>
        <v>1082293.7999999998</v>
      </c>
      <c r="O702" s="932">
        <f>N702/M702</f>
        <v>0.44724621534886055</v>
      </c>
      <c r="P702" s="957" t="s">
        <v>286</v>
      </c>
      <c r="Q702" s="823"/>
      <c r="R702" s="958"/>
    </row>
    <row r="703" spans="1:18" s="444" customFormat="1" ht="34.5" customHeight="1">
      <c r="A703" s="672"/>
      <c r="B703" s="673"/>
      <c r="C703" s="454"/>
      <c r="D703" s="442"/>
      <c r="E703" s="959" t="s">
        <v>16</v>
      </c>
      <c r="F703" s="703"/>
      <c r="G703" s="704"/>
      <c r="H703" s="704"/>
      <c r="I703" s="704"/>
      <c r="J703" s="704"/>
      <c r="K703" s="389"/>
      <c r="L703" s="666"/>
      <c r="M703" s="666" t="s">
        <v>244</v>
      </c>
      <c r="N703" s="666"/>
      <c r="O703" s="874"/>
      <c r="P703" s="960"/>
      <c r="Q703" s="822"/>
      <c r="R703" s="961"/>
    </row>
    <row r="704" spans="1:18" s="444" customFormat="1" ht="57" customHeight="1">
      <c r="A704" s="672"/>
      <c r="B704" s="673"/>
      <c r="C704" s="454"/>
      <c r="D704" s="429"/>
      <c r="E704" s="962" t="s">
        <v>520</v>
      </c>
      <c r="F704" s="703"/>
      <c r="G704" s="704"/>
      <c r="H704" s="704"/>
      <c r="I704" s="704"/>
      <c r="J704" s="704"/>
      <c r="K704" s="389"/>
      <c r="L704" s="963"/>
      <c r="M704" s="963"/>
      <c r="N704" s="964">
        <v>511791.59</v>
      </c>
      <c r="O704" s="874"/>
      <c r="P704" s="960"/>
      <c r="Q704" s="822"/>
      <c r="R704" s="961"/>
    </row>
    <row r="705" spans="1:19" s="444" customFormat="1" ht="57" customHeight="1">
      <c r="A705" s="672"/>
      <c r="B705" s="673"/>
      <c r="C705" s="454"/>
      <c r="D705" s="442"/>
      <c r="E705" s="962" t="s">
        <v>521</v>
      </c>
      <c r="F705" s="703"/>
      <c r="G705" s="704"/>
      <c r="H705" s="704"/>
      <c r="I705" s="704"/>
      <c r="J705" s="704"/>
      <c r="K705" s="389"/>
      <c r="L705" s="963"/>
      <c r="M705" s="963"/>
      <c r="N705" s="964">
        <v>52598.400000000001</v>
      </c>
      <c r="O705" s="874"/>
      <c r="P705" s="960"/>
      <c r="Q705" s="822"/>
      <c r="R705" s="961"/>
    </row>
    <row r="706" spans="1:19" s="444" customFormat="1" ht="57" customHeight="1">
      <c r="A706" s="672"/>
      <c r="B706" s="673"/>
      <c r="C706" s="454"/>
      <c r="D706" s="442"/>
      <c r="E706" s="962" t="s">
        <v>522</v>
      </c>
      <c r="F706" s="703"/>
      <c r="G706" s="704"/>
      <c r="H706" s="704"/>
      <c r="I706" s="704"/>
      <c r="J706" s="704"/>
      <c r="K706" s="389"/>
      <c r="L706" s="963"/>
      <c r="M706" s="963"/>
      <c r="N706" s="964">
        <v>7953.08</v>
      </c>
      <c r="O706" s="874"/>
      <c r="P706" s="960"/>
      <c r="Q706" s="822"/>
      <c r="R706" s="961"/>
    </row>
    <row r="707" spans="1:19" s="444" customFormat="1" ht="57" customHeight="1">
      <c r="A707" s="672"/>
      <c r="B707" s="673"/>
      <c r="C707" s="454"/>
      <c r="D707" s="442"/>
      <c r="E707" s="962" t="s">
        <v>523</v>
      </c>
      <c r="F707" s="703"/>
      <c r="G707" s="704"/>
      <c r="H707" s="704"/>
      <c r="I707" s="704"/>
      <c r="J707" s="704"/>
      <c r="K707" s="389"/>
      <c r="L707" s="963"/>
      <c r="M707" s="963"/>
      <c r="N707" s="964">
        <v>0</v>
      </c>
      <c r="O707" s="874"/>
      <c r="P707" s="960"/>
      <c r="Q707" s="822"/>
      <c r="R707" s="961"/>
    </row>
    <row r="708" spans="1:19" s="444" customFormat="1" ht="36" customHeight="1">
      <c r="A708" s="672"/>
      <c r="B708" s="673"/>
      <c r="C708" s="454"/>
      <c r="D708" s="442"/>
      <c r="E708" s="962" t="s">
        <v>471</v>
      </c>
      <c r="F708" s="703"/>
      <c r="G708" s="704"/>
      <c r="H708" s="704"/>
      <c r="I708" s="704"/>
      <c r="J708" s="704"/>
      <c r="K708" s="389"/>
      <c r="L708" s="963"/>
      <c r="M708" s="963"/>
      <c r="N708" s="964">
        <v>0</v>
      </c>
      <c r="O708" s="874"/>
      <c r="P708" s="960"/>
      <c r="Q708" s="822"/>
      <c r="R708" s="961"/>
      <c r="S708" s="982"/>
    </row>
    <row r="709" spans="1:19" s="444" customFormat="1" ht="36" customHeight="1">
      <c r="A709" s="672"/>
      <c r="B709" s="673"/>
      <c r="C709" s="454"/>
      <c r="D709" s="442"/>
      <c r="E709" s="962" t="s">
        <v>437</v>
      </c>
      <c r="F709" s="703"/>
      <c r="G709" s="704"/>
      <c r="H709" s="704"/>
      <c r="I709" s="704"/>
      <c r="J709" s="704"/>
      <c r="K709" s="389"/>
      <c r="L709" s="963"/>
      <c r="M709" s="963"/>
      <c r="N709" s="964">
        <v>0</v>
      </c>
      <c r="O709" s="874"/>
      <c r="P709" s="960"/>
      <c r="Q709" s="822"/>
      <c r="R709" s="961"/>
    </row>
    <row r="710" spans="1:19" s="444" customFormat="1" ht="36" customHeight="1">
      <c r="A710" s="672"/>
      <c r="B710" s="673"/>
      <c r="C710" s="454"/>
      <c r="D710" s="442"/>
      <c r="E710" s="962" t="s">
        <v>438</v>
      </c>
      <c r="F710" s="703"/>
      <c r="G710" s="704"/>
      <c r="H710" s="704"/>
      <c r="I710" s="704"/>
      <c r="J710" s="704"/>
      <c r="K710" s="389"/>
      <c r="L710" s="963"/>
      <c r="M710" s="963"/>
      <c r="N710" s="964">
        <v>0</v>
      </c>
      <c r="O710" s="874"/>
      <c r="P710" s="960"/>
      <c r="Q710" s="822"/>
      <c r="R710" s="961"/>
    </row>
    <row r="711" spans="1:19" s="444" customFormat="1" ht="36" customHeight="1">
      <c r="A711" s="672"/>
      <c r="B711" s="673"/>
      <c r="C711" s="454"/>
      <c r="D711" s="442"/>
      <c r="E711" s="962" t="s">
        <v>514</v>
      </c>
      <c r="F711" s="703"/>
      <c r="G711" s="704"/>
      <c r="H711" s="704"/>
      <c r="I711" s="704"/>
      <c r="J711" s="704"/>
      <c r="K711" s="389"/>
      <c r="L711" s="963"/>
      <c r="M711" s="963"/>
      <c r="N711" s="964">
        <v>0</v>
      </c>
      <c r="O711" s="874"/>
      <c r="P711" s="960"/>
      <c r="Q711" s="822"/>
      <c r="R711" s="961"/>
    </row>
    <row r="712" spans="1:19" s="444" customFormat="1" ht="36" customHeight="1">
      <c r="A712" s="672"/>
      <c r="B712" s="673"/>
      <c r="C712" s="454"/>
      <c r="D712" s="442"/>
      <c r="E712" s="962" t="s">
        <v>439</v>
      </c>
      <c r="F712" s="703"/>
      <c r="G712" s="704"/>
      <c r="H712" s="704"/>
      <c r="I712" s="704"/>
      <c r="J712" s="704"/>
      <c r="K712" s="389"/>
      <c r="L712" s="963"/>
      <c r="M712" s="963"/>
      <c r="N712" s="964">
        <v>0</v>
      </c>
      <c r="O712" s="874"/>
      <c r="P712" s="960"/>
      <c r="Q712" s="822"/>
      <c r="R712" s="961"/>
    </row>
    <row r="713" spans="1:19" s="444" customFormat="1" ht="36" customHeight="1">
      <c r="A713" s="672"/>
      <c r="B713" s="673"/>
      <c r="C713" s="454"/>
      <c r="D713" s="442"/>
      <c r="E713" s="962" t="s">
        <v>440</v>
      </c>
      <c r="F713" s="703"/>
      <c r="G713" s="704"/>
      <c r="H713" s="704"/>
      <c r="I713" s="704"/>
      <c r="J713" s="704"/>
      <c r="K713" s="389"/>
      <c r="L713" s="963"/>
      <c r="M713" s="963"/>
      <c r="N713" s="964">
        <v>0</v>
      </c>
      <c r="O713" s="874"/>
      <c r="P713" s="960"/>
      <c r="Q713" s="822"/>
      <c r="R713" s="961"/>
    </row>
    <row r="714" spans="1:19" s="444" customFormat="1" ht="36" customHeight="1">
      <c r="A714" s="672"/>
      <c r="B714" s="673"/>
      <c r="C714" s="454"/>
      <c r="D714" s="442"/>
      <c r="E714" s="962" t="s">
        <v>441</v>
      </c>
      <c r="F714" s="703"/>
      <c r="G714" s="704"/>
      <c r="H714" s="704"/>
      <c r="I714" s="704"/>
      <c r="J714" s="704"/>
      <c r="K714" s="389"/>
      <c r="L714" s="963"/>
      <c r="M714" s="963"/>
      <c r="N714" s="964">
        <v>0</v>
      </c>
      <c r="O714" s="874"/>
      <c r="P714" s="960"/>
      <c r="Q714" s="822"/>
      <c r="R714" s="961"/>
    </row>
    <row r="715" spans="1:19" s="444" customFormat="1" ht="57" customHeight="1">
      <c r="A715" s="672"/>
      <c r="B715" s="673"/>
      <c r="C715" s="454"/>
      <c r="D715" s="442"/>
      <c r="E715" s="962" t="s">
        <v>524</v>
      </c>
      <c r="F715" s="703"/>
      <c r="G715" s="704"/>
      <c r="H715" s="704"/>
      <c r="I715" s="704"/>
      <c r="J715" s="704"/>
      <c r="K715" s="389"/>
      <c r="L715" s="963"/>
      <c r="M715" s="963"/>
      <c r="N715" s="964">
        <v>234606.13</v>
      </c>
      <c r="O715" s="874"/>
      <c r="P715" s="960"/>
      <c r="Q715" s="822"/>
      <c r="R715" s="961"/>
    </row>
    <row r="716" spans="1:19" s="444" customFormat="1" ht="36" customHeight="1">
      <c r="A716" s="672"/>
      <c r="B716" s="673"/>
      <c r="C716" s="454"/>
      <c r="D716" s="442"/>
      <c r="E716" s="962" t="s">
        <v>442</v>
      </c>
      <c r="F716" s="703"/>
      <c r="G716" s="704"/>
      <c r="H716" s="704"/>
      <c r="I716" s="704"/>
      <c r="J716" s="704"/>
      <c r="K716" s="389"/>
      <c r="L716" s="963"/>
      <c r="M716" s="963"/>
      <c r="N716" s="964">
        <v>0</v>
      </c>
      <c r="O716" s="874"/>
      <c r="P716" s="960"/>
      <c r="Q716" s="822"/>
      <c r="R716" s="961"/>
    </row>
    <row r="717" spans="1:19" s="444" customFormat="1" ht="36" customHeight="1">
      <c r="A717" s="672"/>
      <c r="B717" s="673"/>
      <c r="C717" s="454"/>
      <c r="D717" s="442"/>
      <c r="E717" s="962" t="s">
        <v>443</v>
      </c>
      <c r="F717" s="703"/>
      <c r="G717" s="704"/>
      <c r="H717" s="704"/>
      <c r="I717" s="704"/>
      <c r="J717" s="704"/>
      <c r="K717" s="389"/>
      <c r="L717" s="963"/>
      <c r="M717" s="963"/>
      <c r="N717" s="964">
        <v>107198.36</v>
      </c>
      <c r="O717" s="874"/>
      <c r="P717" s="960"/>
      <c r="Q717" s="822"/>
      <c r="R717" s="961"/>
    </row>
    <row r="718" spans="1:19" s="444" customFormat="1" ht="36" customHeight="1">
      <c r="A718" s="672"/>
      <c r="B718" s="673"/>
      <c r="C718" s="454"/>
      <c r="D718" s="442"/>
      <c r="E718" s="962" t="s">
        <v>444</v>
      </c>
      <c r="F718" s="703"/>
      <c r="G718" s="704"/>
      <c r="H718" s="704"/>
      <c r="I718" s="704"/>
      <c r="J718" s="704"/>
      <c r="K718" s="389"/>
      <c r="L718" s="963"/>
      <c r="M718" s="963"/>
      <c r="N718" s="964">
        <v>0</v>
      </c>
      <c r="O718" s="874"/>
      <c r="P718" s="960"/>
      <c r="Q718" s="822"/>
      <c r="R718" s="961"/>
    </row>
    <row r="719" spans="1:19" s="444" customFormat="1" ht="36" customHeight="1">
      <c r="A719" s="672"/>
      <c r="B719" s="673"/>
      <c r="C719" s="454"/>
      <c r="D719" s="442"/>
      <c r="E719" s="962" t="s">
        <v>525</v>
      </c>
      <c r="F719" s="703"/>
      <c r="G719" s="704"/>
      <c r="H719" s="704"/>
      <c r="I719" s="704"/>
      <c r="J719" s="704"/>
      <c r="K719" s="389"/>
      <c r="L719" s="963"/>
      <c r="M719" s="963"/>
      <c r="N719" s="964">
        <v>13003.2</v>
      </c>
      <c r="O719" s="874"/>
      <c r="P719" s="960"/>
      <c r="Q719" s="822"/>
      <c r="R719" s="961"/>
    </row>
    <row r="720" spans="1:19" s="444" customFormat="1" ht="36" customHeight="1">
      <c r="A720" s="672"/>
      <c r="B720" s="673"/>
      <c r="C720" s="454"/>
      <c r="D720" s="442"/>
      <c r="E720" s="962" t="s">
        <v>445</v>
      </c>
      <c r="F720" s="703"/>
      <c r="G720" s="704"/>
      <c r="H720" s="704"/>
      <c r="I720" s="704"/>
      <c r="J720" s="704"/>
      <c r="K720" s="389"/>
      <c r="L720" s="963"/>
      <c r="M720" s="963"/>
      <c r="N720" s="964">
        <v>155143.04000000001</v>
      </c>
      <c r="O720" s="874"/>
      <c r="P720" s="960"/>
      <c r="Q720" s="822"/>
      <c r="R720" s="961"/>
    </row>
    <row r="721" spans="1:18" s="444" customFormat="1" ht="57" customHeight="1">
      <c r="A721" s="672"/>
      <c r="B721" s="673"/>
      <c r="C721" s="965"/>
      <c r="D721" s="442"/>
      <c r="E721" s="950" t="s">
        <v>446</v>
      </c>
      <c r="F721" s="955">
        <v>117300</v>
      </c>
      <c r="G721" s="955">
        <v>111778</v>
      </c>
      <c r="H721" s="955">
        <v>74715.13</v>
      </c>
      <c r="I721" s="704"/>
      <c r="J721" s="704"/>
      <c r="K721" s="532"/>
      <c r="L721" s="955">
        <v>290376</v>
      </c>
      <c r="M721" s="955">
        <v>296591</v>
      </c>
      <c r="N721" s="956">
        <f>SUM(N722:N742)</f>
        <v>189512.61000000002</v>
      </c>
      <c r="O721" s="932">
        <f>N721/M721</f>
        <v>0.63896952368750237</v>
      </c>
      <c r="P721" s="960" t="s">
        <v>286</v>
      </c>
      <c r="Q721" s="822"/>
      <c r="R721" s="961"/>
    </row>
    <row r="722" spans="1:18" s="444" customFormat="1" ht="81" customHeight="1">
      <c r="A722" s="672"/>
      <c r="B722" s="673"/>
      <c r="C722" s="965"/>
      <c r="D722" s="442"/>
      <c r="E722" s="966" t="s">
        <v>447</v>
      </c>
      <c r="F722" s="967"/>
      <c r="G722" s="967"/>
      <c r="H722" s="967">
        <v>0</v>
      </c>
      <c r="I722" s="704"/>
      <c r="J722" s="704"/>
      <c r="K722" s="532"/>
      <c r="L722" s="967"/>
      <c r="M722" s="967"/>
      <c r="N722" s="968">
        <v>10835.56</v>
      </c>
      <c r="O722" s="874"/>
      <c r="P722" s="960"/>
      <c r="Q722" s="822"/>
      <c r="R722" s="961"/>
    </row>
    <row r="723" spans="1:18" s="444" customFormat="1" ht="36" customHeight="1">
      <c r="A723" s="672"/>
      <c r="B723" s="673"/>
      <c r="C723" s="965"/>
      <c r="D723" s="442"/>
      <c r="E723" s="966" t="s">
        <v>448</v>
      </c>
      <c r="F723" s="967"/>
      <c r="G723" s="967"/>
      <c r="H723" s="967">
        <v>0</v>
      </c>
      <c r="I723" s="704"/>
      <c r="J723" s="704"/>
      <c r="K723" s="532"/>
      <c r="L723" s="967"/>
      <c r="M723" s="967"/>
      <c r="N723" s="968">
        <v>0</v>
      </c>
      <c r="O723" s="874"/>
      <c r="P723" s="960"/>
      <c r="Q723" s="822"/>
      <c r="R723" s="961"/>
    </row>
    <row r="724" spans="1:18" s="444" customFormat="1" ht="36" customHeight="1">
      <c r="A724" s="672"/>
      <c r="B724" s="673"/>
      <c r="C724" s="965"/>
      <c r="D724" s="442"/>
      <c r="E724" s="966" t="s">
        <v>449</v>
      </c>
      <c r="F724" s="967"/>
      <c r="G724" s="967"/>
      <c r="H724" s="967">
        <v>0</v>
      </c>
      <c r="I724" s="704"/>
      <c r="J724" s="704"/>
      <c r="K724" s="532"/>
      <c r="L724" s="967"/>
      <c r="M724" s="967"/>
      <c r="N724" s="968">
        <v>0</v>
      </c>
      <c r="O724" s="874"/>
      <c r="P724" s="960"/>
      <c r="Q724" s="822"/>
      <c r="R724" s="961"/>
    </row>
    <row r="725" spans="1:18" s="444" customFormat="1" ht="36" customHeight="1">
      <c r="A725" s="672"/>
      <c r="B725" s="673"/>
      <c r="C725" s="965"/>
      <c r="D725" s="442"/>
      <c r="E725" s="966" t="s">
        <v>450</v>
      </c>
      <c r="F725" s="967"/>
      <c r="G725" s="967"/>
      <c r="H725" s="967">
        <v>0</v>
      </c>
      <c r="I725" s="704"/>
      <c r="J725" s="704"/>
      <c r="K725" s="532"/>
      <c r="L725" s="967"/>
      <c r="M725" s="967"/>
      <c r="N725" s="968">
        <v>0</v>
      </c>
      <c r="O725" s="874"/>
      <c r="P725" s="960"/>
      <c r="Q725" s="822"/>
      <c r="R725" s="961"/>
    </row>
    <row r="726" spans="1:18" s="444" customFormat="1" ht="36" customHeight="1">
      <c r="A726" s="672"/>
      <c r="B726" s="673"/>
      <c r="C726" s="965"/>
      <c r="D726" s="442"/>
      <c r="E726" s="966" t="s">
        <v>451</v>
      </c>
      <c r="F726" s="967"/>
      <c r="G726" s="967"/>
      <c r="H726" s="967">
        <v>0</v>
      </c>
      <c r="I726" s="704"/>
      <c r="J726" s="704"/>
      <c r="K726" s="532"/>
      <c r="L726" s="967"/>
      <c r="M726" s="967"/>
      <c r="N726" s="968">
        <v>0</v>
      </c>
      <c r="O726" s="874"/>
      <c r="P726" s="960"/>
      <c r="Q726" s="822"/>
      <c r="R726" s="961"/>
    </row>
    <row r="727" spans="1:18" s="444" customFormat="1" ht="62.25" customHeight="1">
      <c r="A727" s="672"/>
      <c r="B727" s="673"/>
      <c r="C727" s="965"/>
      <c r="D727" s="442"/>
      <c r="E727" s="969" t="s">
        <v>526</v>
      </c>
      <c r="F727" s="967"/>
      <c r="G727" s="967"/>
      <c r="H727" s="967">
        <v>4300</v>
      </c>
      <c r="I727" s="704"/>
      <c r="J727" s="704"/>
      <c r="K727" s="532"/>
      <c r="L727" s="967"/>
      <c r="M727" s="967"/>
      <c r="N727" s="968">
        <v>5610.91</v>
      </c>
      <c r="O727" s="874"/>
      <c r="P727" s="960"/>
      <c r="Q727" s="822"/>
      <c r="R727" s="961"/>
    </row>
    <row r="728" spans="1:18" s="444" customFormat="1" ht="84" customHeight="1">
      <c r="A728" s="672"/>
      <c r="B728" s="673"/>
      <c r="C728" s="965"/>
      <c r="D728" s="442"/>
      <c r="E728" s="966" t="s">
        <v>453</v>
      </c>
      <c r="F728" s="967"/>
      <c r="G728" s="967"/>
      <c r="H728" s="967">
        <v>0</v>
      </c>
      <c r="I728" s="704"/>
      <c r="J728" s="704"/>
      <c r="K728" s="532"/>
      <c r="L728" s="967"/>
      <c r="M728" s="967"/>
      <c r="N728" s="968">
        <v>0</v>
      </c>
      <c r="O728" s="874"/>
      <c r="P728" s="960"/>
      <c r="Q728" s="822"/>
      <c r="R728" s="961"/>
    </row>
    <row r="729" spans="1:18" s="444" customFormat="1" ht="61.5" customHeight="1">
      <c r="A729" s="672"/>
      <c r="B729" s="673"/>
      <c r="C729" s="965"/>
      <c r="D729" s="442"/>
      <c r="E729" s="966" t="s">
        <v>454</v>
      </c>
      <c r="F729" s="967"/>
      <c r="G729" s="967"/>
      <c r="H729" s="967">
        <v>0</v>
      </c>
      <c r="I729" s="704"/>
      <c r="J729" s="704"/>
      <c r="K729" s="532"/>
      <c r="L729" s="967"/>
      <c r="M729" s="967"/>
      <c r="N729" s="968">
        <v>0</v>
      </c>
      <c r="O729" s="874"/>
      <c r="P729" s="960"/>
      <c r="Q729" s="822"/>
      <c r="R729" s="961"/>
    </row>
    <row r="730" spans="1:18" s="444" customFormat="1" ht="36" customHeight="1">
      <c r="A730" s="672"/>
      <c r="B730" s="673"/>
      <c r="C730" s="965"/>
      <c r="D730" s="442"/>
      <c r="E730" s="966" t="s">
        <v>455</v>
      </c>
      <c r="F730" s="967"/>
      <c r="G730" s="967"/>
      <c r="H730" s="967">
        <v>0</v>
      </c>
      <c r="I730" s="704"/>
      <c r="J730" s="704"/>
      <c r="K730" s="532"/>
      <c r="L730" s="967"/>
      <c r="M730" s="967"/>
      <c r="N730" s="968">
        <v>6450.75</v>
      </c>
      <c r="O730" s="874"/>
      <c r="P730" s="960"/>
      <c r="Q730" s="822"/>
      <c r="R730" s="961"/>
    </row>
    <row r="731" spans="1:18" s="444" customFormat="1" ht="59.25" customHeight="1">
      <c r="A731" s="672"/>
      <c r="B731" s="673"/>
      <c r="C731" s="965"/>
      <c r="D731" s="442"/>
      <c r="E731" s="966" t="s">
        <v>456</v>
      </c>
      <c r="F731" s="967"/>
      <c r="G731" s="967"/>
      <c r="H731" s="967">
        <v>0</v>
      </c>
      <c r="I731" s="704"/>
      <c r="J731" s="704"/>
      <c r="K731" s="532"/>
      <c r="L731" s="967"/>
      <c r="M731" s="967"/>
      <c r="N731" s="968">
        <v>0</v>
      </c>
      <c r="O731" s="874"/>
      <c r="P731" s="960"/>
      <c r="Q731" s="822"/>
      <c r="R731" s="961"/>
    </row>
    <row r="732" spans="1:18" s="444" customFormat="1" ht="36" customHeight="1">
      <c r="A732" s="672"/>
      <c r="B732" s="673"/>
      <c r="C732" s="965"/>
      <c r="D732" s="442"/>
      <c r="E732" s="966" t="s">
        <v>457</v>
      </c>
      <c r="F732" s="967"/>
      <c r="G732" s="967"/>
      <c r="H732" s="967">
        <v>0</v>
      </c>
      <c r="I732" s="704"/>
      <c r="J732" s="704"/>
      <c r="K732" s="532"/>
      <c r="L732" s="967"/>
      <c r="M732" s="967"/>
      <c r="N732" s="968">
        <v>682.99</v>
      </c>
      <c r="O732" s="874"/>
      <c r="P732" s="960"/>
      <c r="Q732" s="822"/>
      <c r="R732" s="961"/>
    </row>
    <row r="733" spans="1:18" s="444" customFormat="1" ht="54.75" customHeight="1">
      <c r="A733" s="672"/>
      <c r="B733" s="673"/>
      <c r="C733" s="965"/>
      <c r="D733" s="442"/>
      <c r="E733" s="966" t="s">
        <v>458</v>
      </c>
      <c r="F733" s="967"/>
      <c r="G733" s="967"/>
      <c r="H733" s="967">
        <v>0</v>
      </c>
      <c r="I733" s="704"/>
      <c r="J733" s="704"/>
      <c r="K733" s="532"/>
      <c r="L733" s="967"/>
      <c r="M733" s="967"/>
      <c r="N733" s="968">
        <v>592.14</v>
      </c>
      <c r="O733" s="874"/>
      <c r="P733" s="960"/>
      <c r="Q733" s="822"/>
      <c r="R733" s="961"/>
    </row>
    <row r="734" spans="1:18" s="444" customFormat="1" ht="36" customHeight="1">
      <c r="A734" s="672"/>
      <c r="B734" s="673"/>
      <c r="C734" s="965"/>
      <c r="D734" s="442"/>
      <c r="E734" s="966" t="s">
        <v>459</v>
      </c>
      <c r="F734" s="970"/>
      <c r="G734" s="970"/>
      <c r="H734" s="967">
        <v>32231.32</v>
      </c>
      <c r="I734" s="704"/>
      <c r="J734" s="704"/>
      <c r="K734" s="532"/>
      <c r="L734" s="970"/>
      <c r="M734" s="970"/>
      <c r="N734" s="968">
        <v>66167.78</v>
      </c>
      <c r="O734" s="874"/>
      <c r="P734" s="960"/>
      <c r="Q734" s="822"/>
      <c r="R734" s="961"/>
    </row>
    <row r="735" spans="1:18" s="444" customFormat="1" ht="36" customHeight="1">
      <c r="A735" s="672"/>
      <c r="B735" s="673"/>
      <c r="C735" s="965"/>
      <c r="D735" s="442"/>
      <c r="E735" s="966" t="s">
        <v>460</v>
      </c>
      <c r="F735" s="970"/>
      <c r="G735" s="970"/>
      <c r="H735" s="967">
        <v>0</v>
      </c>
      <c r="I735" s="704"/>
      <c r="J735" s="704"/>
      <c r="K735" s="532"/>
      <c r="L735" s="970"/>
      <c r="M735" s="970"/>
      <c r="N735" s="968">
        <v>5749.76</v>
      </c>
      <c r="O735" s="874"/>
      <c r="P735" s="960"/>
      <c r="Q735" s="822"/>
      <c r="R735" s="961"/>
    </row>
    <row r="736" spans="1:18" s="444" customFormat="1" ht="36" customHeight="1">
      <c r="A736" s="672"/>
      <c r="B736" s="673"/>
      <c r="C736" s="965"/>
      <c r="D736" s="442"/>
      <c r="E736" s="966" t="s">
        <v>461</v>
      </c>
      <c r="F736" s="970"/>
      <c r="G736" s="970"/>
      <c r="H736" s="967">
        <v>692</v>
      </c>
      <c r="I736" s="704"/>
      <c r="J736" s="704"/>
      <c r="K736" s="532"/>
      <c r="L736" s="970"/>
      <c r="M736" s="970"/>
      <c r="N736" s="968">
        <v>1774</v>
      </c>
      <c r="O736" s="874"/>
      <c r="P736" s="960"/>
      <c r="Q736" s="822"/>
      <c r="R736" s="961"/>
    </row>
    <row r="737" spans="1:18" s="444" customFormat="1" ht="36" customHeight="1">
      <c r="A737" s="672"/>
      <c r="B737" s="673"/>
      <c r="C737" s="965"/>
      <c r="D737" s="442"/>
      <c r="E737" s="966" t="s">
        <v>462</v>
      </c>
      <c r="F737" s="970"/>
      <c r="G737" s="970"/>
      <c r="H737" s="967">
        <v>35817</v>
      </c>
      <c r="I737" s="704"/>
      <c r="J737" s="704"/>
      <c r="K737" s="532"/>
      <c r="L737" s="970"/>
      <c r="M737" s="970"/>
      <c r="N737" s="968">
        <v>76558</v>
      </c>
      <c r="O737" s="874"/>
      <c r="P737" s="960"/>
      <c r="Q737" s="822"/>
      <c r="R737" s="961"/>
    </row>
    <row r="738" spans="1:18" s="444" customFormat="1" ht="36" customHeight="1">
      <c r="A738" s="672"/>
      <c r="B738" s="673"/>
      <c r="C738" s="965"/>
      <c r="D738" s="442"/>
      <c r="E738" s="966" t="s">
        <v>463</v>
      </c>
      <c r="F738" s="970"/>
      <c r="G738" s="970"/>
      <c r="H738" s="967">
        <v>0</v>
      </c>
      <c r="I738" s="704"/>
      <c r="J738" s="704"/>
      <c r="K738" s="532"/>
      <c r="L738" s="970"/>
      <c r="M738" s="970"/>
      <c r="N738" s="968">
        <v>0</v>
      </c>
      <c r="O738" s="874"/>
      <c r="P738" s="960"/>
      <c r="Q738" s="822"/>
      <c r="R738" s="961"/>
    </row>
    <row r="739" spans="1:18" s="444" customFormat="1" ht="61.5" customHeight="1">
      <c r="A739" s="672"/>
      <c r="B739" s="673"/>
      <c r="C739" s="965"/>
      <c r="D739" s="442"/>
      <c r="E739" s="966" t="s">
        <v>464</v>
      </c>
      <c r="F739" s="970"/>
      <c r="G739" s="970"/>
      <c r="H739" s="967">
        <v>0</v>
      </c>
      <c r="I739" s="704"/>
      <c r="J739" s="704"/>
      <c r="K739" s="532"/>
      <c r="L739" s="970"/>
      <c r="M739" s="970"/>
      <c r="N739" s="968">
        <v>0</v>
      </c>
      <c r="O739" s="874"/>
      <c r="P739" s="960"/>
      <c r="Q739" s="822"/>
      <c r="R739" s="961"/>
    </row>
    <row r="740" spans="1:18" s="444" customFormat="1" ht="36" customHeight="1">
      <c r="A740" s="672"/>
      <c r="B740" s="673"/>
      <c r="C740" s="965"/>
      <c r="D740" s="442"/>
      <c r="E740" s="966" t="s">
        <v>465</v>
      </c>
      <c r="F740" s="970"/>
      <c r="G740" s="970"/>
      <c r="H740" s="967">
        <v>0</v>
      </c>
      <c r="I740" s="704"/>
      <c r="J740" s="704"/>
      <c r="K740" s="532"/>
      <c r="L740" s="970"/>
      <c r="M740" s="970"/>
      <c r="N740" s="968">
        <v>0</v>
      </c>
      <c r="O740" s="874"/>
      <c r="P740" s="960"/>
      <c r="Q740" s="822"/>
      <c r="R740" s="961"/>
    </row>
    <row r="741" spans="1:18" s="444" customFormat="1" ht="36" customHeight="1">
      <c r="A741" s="672"/>
      <c r="B741" s="673"/>
      <c r="C741" s="965"/>
      <c r="D741" s="442"/>
      <c r="E741" s="966" t="s">
        <v>466</v>
      </c>
      <c r="F741" s="970"/>
      <c r="G741" s="970"/>
      <c r="H741" s="967">
        <v>0</v>
      </c>
      <c r="I741" s="704"/>
      <c r="J741" s="704"/>
      <c r="K741" s="532"/>
      <c r="L741" s="970"/>
      <c r="M741" s="970"/>
      <c r="N741" s="968">
        <v>310</v>
      </c>
      <c r="O741" s="874"/>
      <c r="P741" s="960"/>
      <c r="Q741" s="822"/>
      <c r="R741" s="961"/>
    </row>
    <row r="742" spans="1:18" s="444" customFormat="1" ht="95.25" customHeight="1">
      <c r="A742" s="672"/>
      <c r="B742" s="673"/>
      <c r="C742" s="965"/>
      <c r="D742" s="442"/>
      <c r="E742" s="966" t="s">
        <v>527</v>
      </c>
      <c r="F742" s="970"/>
      <c r="G742" s="970"/>
      <c r="H742" s="967">
        <v>1674.81</v>
      </c>
      <c r="I742" s="704"/>
      <c r="J742" s="704"/>
      <c r="K742" s="532"/>
      <c r="L742" s="970"/>
      <c r="M742" s="970"/>
      <c r="N742" s="968">
        <v>14780.72</v>
      </c>
      <c r="O742" s="874"/>
      <c r="P742" s="960"/>
      <c r="Q742" s="822"/>
      <c r="R742" s="961"/>
    </row>
    <row r="743" spans="1:18" s="444" customFormat="1" ht="57" customHeight="1">
      <c r="A743" s="672"/>
      <c r="B743" s="673"/>
      <c r="C743" s="965"/>
      <c r="D743" s="442"/>
      <c r="E743" s="950" t="s">
        <v>467</v>
      </c>
      <c r="F743" s="955">
        <v>117300</v>
      </c>
      <c r="G743" s="955">
        <v>111778</v>
      </c>
      <c r="H743" s="955">
        <v>74715.13</v>
      </c>
      <c r="I743" s="704"/>
      <c r="J743" s="704"/>
      <c r="K743" s="532"/>
      <c r="L743" s="955">
        <v>0</v>
      </c>
      <c r="M743" s="955">
        <v>0</v>
      </c>
      <c r="N743" s="955">
        <v>0</v>
      </c>
      <c r="O743" s="932">
        <v>0</v>
      </c>
      <c r="P743" s="960" t="s">
        <v>286</v>
      </c>
      <c r="Q743" s="822"/>
      <c r="R743" s="961"/>
    </row>
    <row r="744" spans="1:18" s="438" customFormat="1" ht="69.75" customHeight="1">
      <c r="A744" s="558"/>
      <c r="B744" s="475"/>
      <c r="C744" s="559" t="s">
        <v>53</v>
      </c>
      <c r="D744" s="560"/>
      <c r="E744" s="561" t="s">
        <v>168</v>
      </c>
      <c r="F744" s="562"/>
      <c r="G744" s="562"/>
      <c r="H744" s="562"/>
      <c r="I744" s="562"/>
      <c r="J744" s="562"/>
      <c r="K744" s="564">
        <f>458000+41000</f>
        <v>499000</v>
      </c>
      <c r="L744" s="563">
        <f t="shared" ref="L744:L748" si="118">SUM(F744:K744)</f>
        <v>499000</v>
      </c>
      <c r="M744" s="563">
        <v>499000</v>
      </c>
      <c r="N744" s="563">
        <v>368362.35</v>
      </c>
      <c r="O744" s="872">
        <f>N744/M744</f>
        <v>0.73820110220440882</v>
      </c>
      <c r="P744" s="761" t="s">
        <v>286</v>
      </c>
    </row>
    <row r="745" spans="1:18" s="438" customFormat="1" ht="69.75" customHeight="1">
      <c r="A745" s="558"/>
      <c r="B745" s="475"/>
      <c r="C745" s="559" t="s">
        <v>58</v>
      </c>
      <c r="D745" s="560"/>
      <c r="E745" s="561" t="s">
        <v>239</v>
      </c>
      <c r="F745" s="562"/>
      <c r="G745" s="562"/>
      <c r="H745" s="562"/>
      <c r="I745" s="562"/>
      <c r="J745" s="562"/>
      <c r="K745" s="564">
        <f>618000-30000</f>
        <v>588000</v>
      </c>
      <c r="L745" s="563">
        <f t="shared" ref="L745" si="119">SUM(F745:K745)</f>
        <v>588000</v>
      </c>
      <c r="M745" s="563">
        <v>588000</v>
      </c>
      <c r="N745" s="563">
        <v>289609.02</v>
      </c>
      <c r="O745" s="872">
        <f>N745/M745</f>
        <v>0.49253234693877557</v>
      </c>
      <c r="P745" s="761" t="s">
        <v>286</v>
      </c>
    </row>
    <row r="746" spans="1:18" s="438" customFormat="1" ht="69.75" customHeight="1">
      <c r="A746" s="558"/>
      <c r="B746" s="475"/>
      <c r="C746" s="559" t="s">
        <v>147</v>
      </c>
      <c r="D746" s="560"/>
      <c r="E746" s="561" t="s">
        <v>243</v>
      </c>
      <c r="F746" s="562"/>
      <c r="G746" s="562"/>
      <c r="H746" s="562"/>
      <c r="I746" s="562"/>
      <c r="J746" s="562"/>
      <c r="K746" s="564">
        <f>274000+36000</f>
        <v>310000</v>
      </c>
      <c r="L746" s="563">
        <f t="shared" ref="L746" si="120">SUM(F746:K746)</f>
        <v>310000</v>
      </c>
      <c r="M746" s="563">
        <v>310000</v>
      </c>
      <c r="N746" s="563">
        <v>193919.49</v>
      </c>
      <c r="O746" s="872">
        <f>N746/M746</f>
        <v>0.62554674193548387</v>
      </c>
      <c r="P746" s="761" t="s">
        <v>286</v>
      </c>
    </row>
    <row r="747" spans="1:18" s="438" customFormat="1" ht="87.6" customHeight="1">
      <c r="A747" s="558"/>
      <c r="B747" s="475"/>
      <c r="C747" s="568" t="s">
        <v>235</v>
      </c>
      <c r="D747" s="560"/>
      <c r="E747" s="561" t="s">
        <v>273</v>
      </c>
      <c r="F747" s="562"/>
      <c r="G747" s="562"/>
      <c r="H747" s="562"/>
      <c r="I747" s="562"/>
      <c r="J747" s="562"/>
      <c r="K747" s="564">
        <v>120000</v>
      </c>
      <c r="L747" s="563">
        <f t="shared" si="118"/>
        <v>120000</v>
      </c>
      <c r="M747" s="563">
        <v>120000</v>
      </c>
      <c r="N747" s="563">
        <v>18821.439999999999</v>
      </c>
      <c r="O747" s="872">
        <f>N747/M747</f>
        <v>0.15684533333333331</v>
      </c>
      <c r="P747" s="761" t="s">
        <v>286</v>
      </c>
    </row>
    <row r="748" spans="1:18" s="438" customFormat="1" ht="93" customHeight="1">
      <c r="A748" s="558"/>
      <c r="B748" s="475"/>
      <c r="C748" s="568" t="s">
        <v>238</v>
      </c>
      <c r="D748" s="560"/>
      <c r="E748" s="561" t="s">
        <v>275</v>
      </c>
      <c r="F748" s="562"/>
      <c r="G748" s="562"/>
      <c r="H748" s="562"/>
      <c r="I748" s="562"/>
      <c r="J748" s="562"/>
      <c r="K748" s="564">
        <v>40000</v>
      </c>
      <c r="L748" s="563">
        <f t="shared" si="118"/>
        <v>40000</v>
      </c>
      <c r="M748" s="563">
        <v>40000</v>
      </c>
      <c r="N748" s="563">
        <v>8555.0400000000009</v>
      </c>
      <c r="O748" s="872">
        <f>N748/M748</f>
        <v>0.21387600000000001</v>
      </c>
      <c r="P748" s="761" t="s">
        <v>286</v>
      </c>
    </row>
    <row r="749" spans="1:18" s="79" customFormat="1" ht="57" customHeight="1">
      <c r="A749" s="573"/>
      <c r="B749" s="78">
        <v>80106</v>
      </c>
      <c r="C749" s="77"/>
      <c r="D749" s="76"/>
      <c r="E749" s="75" t="s">
        <v>219</v>
      </c>
      <c r="F749" s="414">
        <f>F750</f>
        <v>0</v>
      </c>
      <c r="G749" s="414">
        <f t="shared" ref="G749:O749" si="121">G750</f>
        <v>0</v>
      </c>
      <c r="H749" s="414">
        <f t="shared" si="121"/>
        <v>0</v>
      </c>
      <c r="I749" s="414">
        <f t="shared" si="121"/>
        <v>0</v>
      </c>
      <c r="J749" s="414">
        <f t="shared" si="121"/>
        <v>0</v>
      </c>
      <c r="K749" s="414">
        <f t="shared" si="121"/>
        <v>4000</v>
      </c>
      <c r="L749" s="95">
        <f t="shared" si="121"/>
        <v>4000</v>
      </c>
      <c r="M749" s="95">
        <f>M750</f>
        <v>3900</v>
      </c>
      <c r="N749" s="95">
        <f>N750</f>
        <v>0</v>
      </c>
      <c r="O749" s="868">
        <f t="shared" si="121"/>
        <v>0</v>
      </c>
      <c r="P749" s="760" t="s">
        <v>286</v>
      </c>
    </row>
    <row r="750" spans="1:18" s="438" customFormat="1" ht="101.4" customHeight="1">
      <c r="A750" s="558"/>
      <c r="B750" s="475"/>
      <c r="C750" s="568"/>
      <c r="D750" s="560"/>
      <c r="E750" s="561" t="s">
        <v>275</v>
      </c>
      <c r="F750" s="562"/>
      <c r="G750" s="562"/>
      <c r="H750" s="562"/>
      <c r="I750" s="562"/>
      <c r="J750" s="562"/>
      <c r="K750" s="564">
        <v>4000</v>
      </c>
      <c r="L750" s="563">
        <f t="shared" ref="L750" si="122">SUM(F750:K750)</f>
        <v>4000</v>
      </c>
      <c r="M750" s="563">
        <v>3900</v>
      </c>
      <c r="N750" s="563">
        <v>0</v>
      </c>
      <c r="O750" s="872">
        <v>0</v>
      </c>
      <c r="P750" s="761" t="s">
        <v>286</v>
      </c>
    </row>
    <row r="751" spans="1:18" s="79" customFormat="1" ht="63.75" customHeight="1">
      <c r="A751" s="573"/>
      <c r="B751" s="78">
        <v>80113</v>
      </c>
      <c r="C751" s="77"/>
      <c r="D751" s="76"/>
      <c r="E751" s="75" t="s">
        <v>57</v>
      </c>
      <c r="F751" s="95">
        <f>F752+F753+F754+F755</f>
        <v>0</v>
      </c>
      <c r="G751" s="95">
        <f>G752+G753+G755</f>
        <v>0</v>
      </c>
      <c r="H751" s="95">
        <f>H752+H753+H755</f>
        <v>0</v>
      </c>
      <c r="I751" s="95">
        <f>I752+I753+I755</f>
        <v>0</v>
      </c>
      <c r="J751" s="95">
        <f>J752+J753+J755</f>
        <v>0</v>
      </c>
      <c r="K751" s="95">
        <f>K752+K753+K755+K754</f>
        <v>768000</v>
      </c>
      <c r="L751" s="95">
        <f>L752+L753+L755+L754</f>
        <v>768000</v>
      </c>
      <c r="M751" s="95">
        <f>M752+M753+M755+M754</f>
        <v>740000</v>
      </c>
      <c r="N751" s="95">
        <f>N752+N753+N755+N754</f>
        <v>169116.58000000002</v>
      </c>
      <c r="O751" s="868">
        <f t="shared" ref="O751:O762" si="123">N751/M751</f>
        <v>0.22853591891891895</v>
      </c>
      <c r="P751" s="760" t="s">
        <v>286</v>
      </c>
    </row>
    <row r="752" spans="1:18" s="97" customFormat="1" ht="46.5" customHeight="1">
      <c r="A752" s="640"/>
      <c r="B752" s="178"/>
      <c r="C752" s="203">
        <v>1</v>
      </c>
      <c r="D752" s="118"/>
      <c r="E752" s="183" t="s">
        <v>191</v>
      </c>
      <c r="F752" s="255"/>
      <c r="G752" s="460"/>
      <c r="H752" s="456"/>
      <c r="I752" s="456"/>
      <c r="J752" s="456"/>
      <c r="K752" s="457">
        <v>360000</v>
      </c>
      <c r="L752" s="457">
        <f t="shared" ref="L752:L753" si="124">K752</f>
        <v>360000</v>
      </c>
      <c r="M752" s="457">
        <v>351000</v>
      </c>
      <c r="N752" s="457">
        <v>91236.7</v>
      </c>
      <c r="O752" s="877">
        <f t="shared" si="123"/>
        <v>0.25993361823361821</v>
      </c>
      <c r="P752" s="762" t="s">
        <v>286</v>
      </c>
    </row>
    <row r="753" spans="1:18" s="97" customFormat="1" ht="46.5" customHeight="1">
      <c r="A753" s="640"/>
      <c r="B753" s="178"/>
      <c r="C753" s="203">
        <v>2</v>
      </c>
      <c r="D753" s="118"/>
      <c r="E753" s="183" t="s">
        <v>232</v>
      </c>
      <c r="F753" s="255"/>
      <c r="G753" s="460"/>
      <c r="H753" s="456"/>
      <c r="I753" s="456"/>
      <c r="J753" s="456"/>
      <c r="K753" s="457">
        <v>110000</v>
      </c>
      <c r="L753" s="457">
        <f t="shared" si="124"/>
        <v>110000</v>
      </c>
      <c r="M753" s="457">
        <v>101000</v>
      </c>
      <c r="N753" s="457">
        <v>21608.880000000001</v>
      </c>
      <c r="O753" s="877">
        <f t="shared" si="123"/>
        <v>0.21394930693069308</v>
      </c>
      <c r="P753" s="762" t="s">
        <v>286</v>
      </c>
    </row>
    <row r="754" spans="1:18" s="415" customFormat="1" ht="46.5" customHeight="1">
      <c r="A754" s="640"/>
      <c r="B754" s="178"/>
      <c r="C754" s="203">
        <v>3</v>
      </c>
      <c r="D754" s="118"/>
      <c r="E754" s="183" t="s">
        <v>260</v>
      </c>
      <c r="F754" s="255"/>
      <c r="G754" s="460"/>
      <c r="H754" s="456"/>
      <c r="I754" s="456"/>
      <c r="J754" s="456"/>
      <c r="K754" s="457">
        <v>48000</v>
      </c>
      <c r="L754" s="457">
        <f>K754</f>
        <v>48000</v>
      </c>
      <c r="M754" s="457">
        <f>L754</f>
        <v>48000</v>
      </c>
      <c r="N754" s="457">
        <v>8970</v>
      </c>
      <c r="O754" s="877">
        <f t="shared" si="123"/>
        <v>0.18687500000000001</v>
      </c>
      <c r="P754" s="762" t="s">
        <v>286</v>
      </c>
    </row>
    <row r="755" spans="1:18" s="415" customFormat="1" ht="183.6" customHeight="1">
      <c r="A755" s="640"/>
      <c r="B755" s="424"/>
      <c r="C755" s="203">
        <v>4</v>
      </c>
      <c r="D755" s="118"/>
      <c r="E755" s="607" t="s">
        <v>343</v>
      </c>
      <c r="F755" s="255"/>
      <c r="G755" s="460"/>
      <c r="H755" s="456"/>
      <c r="I755" s="456"/>
      <c r="J755" s="456"/>
      <c r="K755" s="457">
        <v>250000</v>
      </c>
      <c r="L755" s="388">
        <f>SUM(F755:K755)</f>
        <v>250000</v>
      </c>
      <c r="M755" s="388">
        <v>240000</v>
      </c>
      <c r="N755" s="388">
        <v>47301</v>
      </c>
      <c r="O755" s="916">
        <f t="shared" si="123"/>
        <v>0.1970875</v>
      </c>
      <c r="P755" s="762" t="s">
        <v>286</v>
      </c>
    </row>
    <row r="756" spans="1:18" s="275" customFormat="1" ht="65.25" customHeight="1">
      <c r="A756" s="433"/>
      <c r="B756" s="78">
        <v>80146</v>
      </c>
      <c r="C756" s="77"/>
      <c r="D756" s="181"/>
      <c r="E756" s="391" t="s">
        <v>55</v>
      </c>
      <c r="F756" s="414">
        <f>F757</f>
        <v>0</v>
      </c>
      <c r="G756" s="95">
        <f>G757</f>
        <v>0</v>
      </c>
      <c r="H756" s="95">
        <f>H757</f>
        <v>0</v>
      </c>
      <c r="I756" s="95">
        <f>I757</f>
        <v>0</v>
      </c>
      <c r="J756" s="95">
        <f>J757</f>
        <v>0</v>
      </c>
      <c r="K756" s="95">
        <f>K757+K760</f>
        <v>154283</v>
      </c>
      <c r="L756" s="95">
        <f>L757+L760</f>
        <v>154283</v>
      </c>
      <c r="M756" s="95">
        <f t="shared" ref="M756:N756" si="125">M757+M760</f>
        <v>154283</v>
      </c>
      <c r="N756" s="95">
        <f t="shared" si="125"/>
        <v>25843.96</v>
      </c>
      <c r="O756" s="868">
        <f t="shared" si="123"/>
        <v>0.16751009508500611</v>
      </c>
      <c r="P756" s="780" t="s">
        <v>286</v>
      </c>
    </row>
    <row r="757" spans="1:18" s="170" customFormat="1" ht="45" customHeight="1">
      <c r="A757" s="405"/>
      <c r="B757" s="178"/>
      <c r="C757" s="63" t="s">
        <v>24</v>
      </c>
      <c r="D757" s="169"/>
      <c r="E757" s="190" t="s">
        <v>23</v>
      </c>
      <c r="F757" s="281"/>
      <c r="G757" s="189"/>
      <c r="H757" s="189"/>
      <c r="I757" s="189"/>
      <c r="J757" s="189"/>
      <c r="K757" s="189">
        <f>SUM(K758:K759)</f>
        <v>125988</v>
      </c>
      <c r="L757" s="189">
        <f>L758+L759</f>
        <v>125988</v>
      </c>
      <c r="M757" s="189">
        <f t="shared" ref="M757:N757" si="126">M758+M759</f>
        <v>125988</v>
      </c>
      <c r="N757" s="189">
        <f t="shared" si="126"/>
        <v>19330.04</v>
      </c>
      <c r="O757" s="888">
        <f t="shared" si="123"/>
        <v>0.15342762802806617</v>
      </c>
      <c r="P757" s="776" t="s">
        <v>286</v>
      </c>
    </row>
    <row r="758" spans="1:18" s="275" customFormat="1" ht="45" customHeight="1">
      <c r="A758" s="433"/>
      <c r="B758" s="178"/>
      <c r="C758" s="254">
        <v>1</v>
      </c>
      <c r="D758" s="253"/>
      <c r="E758" s="614" t="s">
        <v>276</v>
      </c>
      <c r="F758" s="527"/>
      <c r="G758" s="280"/>
      <c r="H758" s="280"/>
      <c r="I758" s="280"/>
      <c r="J758" s="252"/>
      <c r="K758" s="87">
        <v>67079</v>
      </c>
      <c r="L758" s="87">
        <f t="shared" ref="L758:L766" si="127">SUM(F758:K758)</f>
        <v>67079</v>
      </c>
      <c r="M758" s="87">
        <v>67079</v>
      </c>
      <c r="N758" s="87">
        <v>3756.42</v>
      </c>
      <c r="O758" s="879">
        <f t="shared" si="123"/>
        <v>5.5999940368818855E-2</v>
      </c>
      <c r="P758" s="780" t="s">
        <v>286</v>
      </c>
    </row>
    <row r="759" spans="1:18" s="170" customFormat="1" ht="45" customHeight="1">
      <c r="A759" s="433"/>
      <c r="B759" s="178"/>
      <c r="C759" s="185">
        <v>2</v>
      </c>
      <c r="D759" s="184"/>
      <c r="E759" s="279" t="s">
        <v>277</v>
      </c>
      <c r="F759" s="525"/>
      <c r="G759" s="278"/>
      <c r="H759" s="278"/>
      <c r="I759" s="278"/>
      <c r="J759" s="460"/>
      <c r="K759" s="456">
        <v>58909</v>
      </c>
      <c r="L759" s="456">
        <f t="shared" si="127"/>
        <v>58909</v>
      </c>
      <c r="M759" s="456">
        <v>58909</v>
      </c>
      <c r="N759" s="456">
        <v>15573.62</v>
      </c>
      <c r="O759" s="871">
        <f t="shared" si="123"/>
        <v>0.26436741414724407</v>
      </c>
      <c r="P759" s="776" t="s">
        <v>286</v>
      </c>
    </row>
    <row r="760" spans="1:18" s="251" customFormat="1" ht="45" customHeight="1">
      <c r="A760" s="492"/>
      <c r="B760" s="178"/>
      <c r="C760" s="101" t="s">
        <v>53</v>
      </c>
      <c r="D760" s="194"/>
      <c r="E760" s="193" t="s">
        <v>52</v>
      </c>
      <c r="F760" s="192"/>
      <c r="G760" s="436"/>
      <c r="H760" s="436"/>
      <c r="I760" s="436"/>
      <c r="J760" s="436"/>
      <c r="K760" s="436">
        <f>SUM(K761:K764)</f>
        <v>28295</v>
      </c>
      <c r="L760" s="436">
        <f>L761+L762+L763+L764</f>
        <v>28295</v>
      </c>
      <c r="M760" s="436">
        <f t="shared" ref="M760:N760" si="128">M761+M762+M763+M764</f>
        <v>28295</v>
      </c>
      <c r="N760" s="436">
        <f t="shared" si="128"/>
        <v>6513.92</v>
      </c>
      <c r="O760" s="908">
        <f t="shared" si="123"/>
        <v>0.23021452553454674</v>
      </c>
      <c r="P760" s="777" t="s">
        <v>286</v>
      </c>
    </row>
    <row r="761" spans="1:18" s="170" customFormat="1" ht="45" customHeight="1">
      <c r="A761" s="433"/>
      <c r="B761" s="178"/>
      <c r="C761" s="30">
        <v>1</v>
      </c>
      <c r="D761" s="217"/>
      <c r="E761" s="220" t="s">
        <v>51</v>
      </c>
      <c r="F761" s="219"/>
      <c r="G761" s="92"/>
      <c r="H761" s="92"/>
      <c r="I761" s="92"/>
      <c r="J761" s="189"/>
      <c r="K761" s="92">
        <v>4666</v>
      </c>
      <c r="L761" s="92">
        <f t="shared" si="127"/>
        <v>4666</v>
      </c>
      <c r="M761" s="92">
        <v>4666</v>
      </c>
      <c r="N761" s="92">
        <v>1200</v>
      </c>
      <c r="O761" s="869">
        <f t="shared" si="123"/>
        <v>0.25717959708529792</v>
      </c>
      <c r="P761" s="776" t="s">
        <v>286</v>
      </c>
    </row>
    <row r="762" spans="1:18" s="188" customFormat="1" ht="45" customHeight="1">
      <c r="A762" s="433"/>
      <c r="B762" s="178"/>
      <c r="C762" s="224">
        <v>2</v>
      </c>
      <c r="D762" s="223"/>
      <c r="E762" s="227" t="s">
        <v>50</v>
      </c>
      <c r="F762" s="221"/>
      <c r="G762" s="87"/>
      <c r="H762" s="87"/>
      <c r="I762" s="87"/>
      <c r="J762" s="252"/>
      <c r="K762" s="87">
        <v>7288</v>
      </c>
      <c r="L762" s="87">
        <f t="shared" si="127"/>
        <v>7288</v>
      </c>
      <c r="M762" s="87">
        <v>7288</v>
      </c>
      <c r="N762" s="87">
        <v>594.96</v>
      </c>
      <c r="O762" s="879">
        <f t="shared" si="123"/>
        <v>8.1635565312843036E-2</v>
      </c>
      <c r="P762" s="778" t="s">
        <v>286</v>
      </c>
    </row>
    <row r="763" spans="1:18" s="170" customFormat="1" ht="45" customHeight="1">
      <c r="A763" s="433"/>
      <c r="B763" s="178"/>
      <c r="C763" s="224">
        <v>3</v>
      </c>
      <c r="D763" s="223"/>
      <c r="E763" s="227" t="s">
        <v>49</v>
      </c>
      <c r="F763" s="221"/>
      <c r="G763" s="87"/>
      <c r="H763" s="87"/>
      <c r="I763" s="87"/>
      <c r="J763" s="252"/>
      <c r="K763" s="87">
        <v>5642</v>
      </c>
      <c r="L763" s="87">
        <f t="shared" si="127"/>
        <v>5642</v>
      </c>
      <c r="M763" s="87">
        <v>5642</v>
      </c>
      <c r="N763" s="87">
        <v>0</v>
      </c>
      <c r="O763" s="879">
        <v>0</v>
      </c>
      <c r="P763" s="776" t="s">
        <v>286</v>
      </c>
    </row>
    <row r="764" spans="1:18" s="170" customFormat="1" ht="45" customHeight="1">
      <c r="A764" s="433"/>
      <c r="B764" s="178"/>
      <c r="C764" s="30">
        <v>4</v>
      </c>
      <c r="D764" s="217"/>
      <c r="E764" s="220" t="s">
        <v>48</v>
      </c>
      <c r="F764" s="219"/>
      <c r="G764" s="92"/>
      <c r="H764" s="92"/>
      <c r="I764" s="92"/>
      <c r="J764" s="277"/>
      <c r="K764" s="276">
        <v>10699</v>
      </c>
      <c r="L764" s="276">
        <f t="shared" si="127"/>
        <v>10699</v>
      </c>
      <c r="M764" s="276">
        <v>10699</v>
      </c>
      <c r="N764" s="276">
        <v>4718.96</v>
      </c>
      <c r="O764" s="912">
        <f>N764/M764</f>
        <v>0.44106552014206934</v>
      </c>
      <c r="P764" s="776" t="s">
        <v>286</v>
      </c>
    </row>
    <row r="765" spans="1:18" s="275" customFormat="1" ht="63.75" customHeight="1">
      <c r="A765" s="433"/>
      <c r="B765" s="78">
        <v>80148</v>
      </c>
      <c r="C765" s="77"/>
      <c r="D765" s="181"/>
      <c r="E765" s="180" t="s">
        <v>54</v>
      </c>
      <c r="F765" s="414">
        <f>F766</f>
        <v>0</v>
      </c>
      <c r="G765" s="95">
        <f>G766</f>
        <v>0</v>
      </c>
      <c r="H765" s="95">
        <f>H766</f>
        <v>0</v>
      </c>
      <c r="I765" s="95">
        <f>I766</f>
        <v>0</v>
      </c>
      <c r="J765" s="95">
        <f>J766</f>
        <v>0</v>
      </c>
      <c r="K765" s="95">
        <f>K766+K853</f>
        <v>3519000</v>
      </c>
      <c r="L765" s="95">
        <f t="shared" si="127"/>
        <v>3519000</v>
      </c>
      <c r="M765" s="95">
        <f>M766+M853</f>
        <v>3468407</v>
      </c>
      <c r="N765" s="95">
        <f>N766+N853</f>
        <v>1118107.51</v>
      </c>
      <c r="O765" s="868">
        <f>N765/M765</f>
        <v>0.32236917697375195</v>
      </c>
      <c r="P765" s="780" t="s">
        <v>286</v>
      </c>
    </row>
    <row r="766" spans="1:18" s="198" customFormat="1" ht="39.9" customHeight="1">
      <c r="A766" s="492"/>
      <c r="B766" s="178"/>
      <c r="C766" s="195" t="s">
        <v>24</v>
      </c>
      <c r="D766" s="194"/>
      <c r="E766" s="193" t="s">
        <v>23</v>
      </c>
      <c r="F766" s="192"/>
      <c r="G766" s="192"/>
      <c r="H766" s="192"/>
      <c r="I766" s="192"/>
      <c r="J766" s="192"/>
      <c r="K766" s="436">
        <f>K767+K810</f>
        <v>1842000</v>
      </c>
      <c r="L766" s="436">
        <f t="shared" si="127"/>
        <v>1842000</v>
      </c>
      <c r="M766" s="436">
        <f>M767+M810</f>
        <v>1842000</v>
      </c>
      <c r="N766" s="436">
        <f>N767+N810</f>
        <v>556852.80000000005</v>
      </c>
      <c r="O766" s="908">
        <f>N766/M766</f>
        <v>0.30230879478827366</v>
      </c>
      <c r="P766" s="777" t="s">
        <v>286</v>
      </c>
    </row>
    <row r="767" spans="1:18" s="445" customFormat="1" ht="39.9" customHeight="1">
      <c r="A767" s="688"/>
      <c r="B767" s="677"/>
      <c r="C767" s="659">
        <v>1</v>
      </c>
      <c r="D767" s="447"/>
      <c r="E767" s="545" t="s">
        <v>192</v>
      </c>
      <c r="F767" s="400"/>
      <c r="G767" s="425"/>
      <c r="H767" s="425"/>
      <c r="I767" s="425"/>
      <c r="J767" s="425"/>
      <c r="K767" s="425">
        <f>484000+10170+344280+120000+18050+1500+5000</f>
        <v>983000</v>
      </c>
      <c r="L767" s="425">
        <f>L768+L787+L809</f>
        <v>983000</v>
      </c>
      <c r="M767" s="425">
        <f t="shared" ref="M767:N767" si="129">M768+M787+M809</f>
        <v>983000</v>
      </c>
      <c r="N767" s="425">
        <f t="shared" si="129"/>
        <v>275942.58</v>
      </c>
      <c r="O767" s="889">
        <f>N767/M767</f>
        <v>0.28071473041709055</v>
      </c>
      <c r="P767" s="781" t="s">
        <v>286</v>
      </c>
    </row>
    <row r="768" spans="1:18" s="435" customFormat="1" ht="50.25" customHeight="1">
      <c r="A768" s="705"/>
      <c r="B768" s="949"/>
      <c r="C768" s="463"/>
      <c r="D768" s="448"/>
      <c r="E768" s="950" t="s">
        <v>435</v>
      </c>
      <c r="F768" s="951"/>
      <c r="G768" s="952"/>
      <c r="H768" s="952"/>
      <c r="I768" s="952"/>
      <c r="J768" s="953"/>
      <c r="K768" s="954"/>
      <c r="L768" s="955">
        <v>484000</v>
      </c>
      <c r="M768" s="955">
        <v>481767</v>
      </c>
      <c r="N768" s="956">
        <f>SUM(N770:N786)</f>
        <v>183257.38</v>
      </c>
      <c r="O768" s="932">
        <f>N768/M768</f>
        <v>0.38038591269223504</v>
      </c>
      <c r="P768" s="957" t="s">
        <v>286</v>
      </c>
      <c r="Q768" s="823"/>
      <c r="R768" s="958"/>
    </row>
    <row r="769" spans="1:18" s="444" customFormat="1" ht="34.5" customHeight="1">
      <c r="A769" s="672"/>
      <c r="B769" s="673"/>
      <c r="C769" s="454"/>
      <c r="D769" s="442"/>
      <c r="E769" s="959" t="s">
        <v>16</v>
      </c>
      <c r="F769" s="703"/>
      <c r="G769" s="704"/>
      <c r="H769" s="704"/>
      <c r="I769" s="704"/>
      <c r="J769" s="704"/>
      <c r="K769" s="389"/>
      <c r="L769" s="666"/>
      <c r="M769" s="666"/>
      <c r="N769" s="666"/>
      <c r="O769" s="874"/>
      <c r="P769" s="960"/>
      <c r="Q769" s="822"/>
      <c r="R769" s="961"/>
    </row>
    <row r="770" spans="1:18" s="444" customFormat="1" ht="36" customHeight="1">
      <c r="A770" s="672"/>
      <c r="B770" s="673"/>
      <c r="C770" s="454"/>
      <c r="D770" s="429"/>
      <c r="E770" s="962" t="s">
        <v>476</v>
      </c>
      <c r="F770" s="703"/>
      <c r="G770" s="704"/>
      <c r="H770" s="704"/>
      <c r="I770" s="704"/>
      <c r="J770" s="704"/>
      <c r="K770" s="389"/>
      <c r="L770" s="963"/>
      <c r="M770" s="963"/>
      <c r="N770" s="964">
        <v>0</v>
      </c>
      <c r="O770" s="874"/>
      <c r="P770" s="960"/>
      <c r="Q770" s="822"/>
      <c r="R770" s="961"/>
    </row>
    <row r="771" spans="1:18" s="444" customFormat="1" ht="57" customHeight="1">
      <c r="A771" s="672"/>
      <c r="B771" s="673"/>
      <c r="C771" s="454"/>
      <c r="D771" s="442"/>
      <c r="E771" s="962" t="s">
        <v>469</v>
      </c>
      <c r="F771" s="703"/>
      <c r="G771" s="704"/>
      <c r="H771" s="704"/>
      <c r="I771" s="704"/>
      <c r="J771" s="704"/>
      <c r="K771" s="389"/>
      <c r="L771" s="963"/>
      <c r="M771" s="963"/>
      <c r="N771" s="964">
        <v>0</v>
      </c>
      <c r="O771" s="874"/>
      <c r="P771" s="960"/>
      <c r="Q771" s="822"/>
      <c r="R771" s="961"/>
    </row>
    <row r="772" spans="1:18" s="444" customFormat="1" ht="36" customHeight="1">
      <c r="A772" s="672"/>
      <c r="B772" s="673"/>
      <c r="C772" s="454"/>
      <c r="D772" s="442"/>
      <c r="E772" s="962" t="s">
        <v>477</v>
      </c>
      <c r="F772" s="703"/>
      <c r="G772" s="704"/>
      <c r="H772" s="704"/>
      <c r="I772" s="704"/>
      <c r="J772" s="704"/>
      <c r="K772" s="389"/>
      <c r="L772" s="963"/>
      <c r="M772" s="963"/>
      <c r="N772" s="964">
        <v>0</v>
      </c>
      <c r="O772" s="874"/>
      <c r="P772" s="960"/>
      <c r="Q772" s="822"/>
      <c r="R772" s="961"/>
    </row>
    <row r="773" spans="1:18" s="444" customFormat="1" ht="36" customHeight="1">
      <c r="A773" s="672"/>
      <c r="B773" s="673"/>
      <c r="C773" s="454"/>
      <c r="D773" s="442"/>
      <c r="E773" s="962" t="s">
        <v>478</v>
      </c>
      <c r="F773" s="703"/>
      <c r="G773" s="704"/>
      <c r="H773" s="704"/>
      <c r="I773" s="704"/>
      <c r="J773" s="704"/>
      <c r="K773" s="389"/>
      <c r="L773" s="963"/>
      <c r="M773" s="963"/>
      <c r="N773" s="964">
        <v>0</v>
      </c>
      <c r="O773" s="874"/>
      <c r="P773" s="960"/>
      <c r="Q773" s="822"/>
      <c r="R773" s="961"/>
    </row>
    <row r="774" spans="1:18" s="444" customFormat="1" ht="36" customHeight="1">
      <c r="A774" s="672"/>
      <c r="B774" s="673"/>
      <c r="C774" s="454"/>
      <c r="D774" s="442"/>
      <c r="E774" s="962" t="s">
        <v>471</v>
      </c>
      <c r="F774" s="703"/>
      <c r="G774" s="704"/>
      <c r="H774" s="704"/>
      <c r="I774" s="704"/>
      <c r="J774" s="704"/>
      <c r="K774" s="389"/>
      <c r="L774" s="963"/>
      <c r="M774" s="963"/>
      <c r="N774" s="964">
        <v>0</v>
      </c>
      <c r="O774" s="874"/>
      <c r="P774" s="960"/>
      <c r="Q774" s="822"/>
      <c r="R774" s="961"/>
    </row>
    <row r="775" spans="1:18" s="444" customFormat="1" ht="36" customHeight="1">
      <c r="A775" s="672"/>
      <c r="B775" s="673"/>
      <c r="C775" s="454"/>
      <c r="D775" s="442"/>
      <c r="E775" s="962" t="s">
        <v>437</v>
      </c>
      <c r="F775" s="703"/>
      <c r="G775" s="704"/>
      <c r="H775" s="704"/>
      <c r="I775" s="704"/>
      <c r="J775" s="704"/>
      <c r="K775" s="389"/>
      <c r="L775" s="963"/>
      <c r="M775" s="963"/>
      <c r="N775" s="964">
        <v>0</v>
      </c>
      <c r="O775" s="874"/>
      <c r="P775" s="960"/>
      <c r="Q775" s="822"/>
      <c r="R775" s="961"/>
    </row>
    <row r="776" spans="1:18" s="444" customFormat="1" ht="36" customHeight="1">
      <c r="A776" s="672"/>
      <c r="B776" s="673"/>
      <c r="C776" s="454"/>
      <c r="D776" s="442"/>
      <c r="E776" s="962" t="s">
        <v>438</v>
      </c>
      <c r="F776" s="703"/>
      <c r="G776" s="704"/>
      <c r="H776" s="704"/>
      <c r="I776" s="704"/>
      <c r="J776" s="704"/>
      <c r="K776" s="389"/>
      <c r="L776" s="963"/>
      <c r="M776" s="963"/>
      <c r="N776" s="964">
        <v>0</v>
      </c>
      <c r="O776" s="874"/>
      <c r="P776" s="960"/>
      <c r="Q776" s="822"/>
      <c r="R776" s="961"/>
    </row>
    <row r="777" spans="1:18" s="444" customFormat="1" ht="36" customHeight="1">
      <c r="A777" s="672"/>
      <c r="B777" s="673"/>
      <c r="C777" s="454"/>
      <c r="D777" s="442"/>
      <c r="E777" s="962" t="s">
        <v>480</v>
      </c>
      <c r="F777" s="703"/>
      <c r="G777" s="704"/>
      <c r="H777" s="704"/>
      <c r="I777" s="704"/>
      <c r="J777" s="704"/>
      <c r="K777" s="389"/>
      <c r="L777" s="963"/>
      <c r="M777" s="963"/>
      <c r="N777" s="964">
        <v>0</v>
      </c>
      <c r="O777" s="874"/>
      <c r="P777" s="960"/>
      <c r="Q777" s="822"/>
      <c r="R777" s="961"/>
    </row>
    <row r="778" spans="1:18" s="444" customFormat="1" ht="36" customHeight="1">
      <c r="A778" s="672"/>
      <c r="B778" s="673"/>
      <c r="C778" s="454"/>
      <c r="D778" s="442"/>
      <c r="E778" s="962" t="s">
        <v>439</v>
      </c>
      <c r="F778" s="703"/>
      <c r="G778" s="704"/>
      <c r="H778" s="704"/>
      <c r="I778" s="704"/>
      <c r="J778" s="704"/>
      <c r="K778" s="389"/>
      <c r="L778" s="963"/>
      <c r="M778" s="963"/>
      <c r="N778" s="964">
        <v>0</v>
      </c>
      <c r="O778" s="874"/>
      <c r="P778" s="960"/>
      <c r="Q778" s="822"/>
      <c r="R778" s="961"/>
    </row>
    <row r="779" spans="1:18" s="444" customFormat="1" ht="36" customHeight="1">
      <c r="A779" s="672"/>
      <c r="B779" s="673"/>
      <c r="C779" s="454"/>
      <c r="D779" s="442"/>
      <c r="E779" s="962" t="s">
        <v>440</v>
      </c>
      <c r="F779" s="703"/>
      <c r="G779" s="704"/>
      <c r="H779" s="704"/>
      <c r="I779" s="704"/>
      <c r="J779" s="704"/>
      <c r="K779" s="389"/>
      <c r="L779" s="963"/>
      <c r="M779" s="963"/>
      <c r="N779" s="964">
        <v>0</v>
      </c>
      <c r="O779" s="874"/>
      <c r="P779" s="960"/>
      <c r="Q779" s="822"/>
      <c r="R779" s="961"/>
    </row>
    <row r="780" spans="1:18" s="444" customFormat="1" ht="36" customHeight="1">
      <c r="A780" s="672"/>
      <c r="B780" s="673"/>
      <c r="C780" s="454"/>
      <c r="D780" s="442"/>
      <c r="E780" s="962" t="s">
        <v>441</v>
      </c>
      <c r="F780" s="703"/>
      <c r="G780" s="704"/>
      <c r="H780" s="704"/>
      <c r="I780" s="704"/>
      <c r="J780" s="704"/>
      <c r="K780" s="389"/>
      <c r="L780" s="963"/>
      <c r="M780" s="963"/>
      <c r="N780" s="964">
        <v>0</v>
      </c>
      <c r="O780" s="874"/>
      <c r="P780" s="960"/>
      <c r="Q780" s="822"/>
      <c r="R780" s="961"/>
    </row>
    <row r="781" spans="1:18" s="444" customFormat="1" ht="57" customHeight="1">
      <c r="A781" s="672"/>
      <c r="B781" s="673"/>
      <c r="C781" s="454"/>
      <c r="D781" s="442"/>
      <c r="E781" s="962" t="s">
        <v>587</v>
      </c>
      <c r="F781" s="703"/>
      <c r="G781" s="704"/>
      <c r="H781" s="704"/>
      <c r="I781" s="704"/>
      <c r="J781" s="704"/>
      <c r="K781" s="389"/>
      <c r="L781" s="963"/>
      <c r="M781" s="963"/>
      <c r="N781" s="964">
        <v>136919.60999999999</v>
      </c>
      <c r="O781" s="874"/>
      <c r="P781" s="960"/>
      <c r="Q781" s="822"/>
      <c r="R781" s="961"/>
    </row>
    <row r="782" spans="1:18" s="444" customFormat="1" ht="36" customHeight="1">
      <c r="A782" s="672"/>
      <c r="B782" s="673"/>
      <c r="C782" s="454"/>
      <c r="D782" s="442"/>
      <c r="E782" s="962" t="s">
        <v>442</v>
      </c>
      <c r="F782" s="703"/>
      <c r="G782" s="704"/>
      <c r="H782" s="704"/>
      <c r="I782" s="704"/>
      <c r="J782" s="704"/>
      <c r="K782" s="389"/>
      <c r="L782" s="963"/>
      <c r="M782" s="963"/>
      <c r="N782" s="964">
        <v>0</v>
      </c>
      <c r="O782" s="874"/>
      <c r="P782" s="960"/>
      <c r="Q782" s="822"/>
      <c r="R782" s="961"/>
    </row>
    <row r="783" spans="1:18" s="444" customFormat="1" ht="36" customHeight="1">
      <c r="A783" s="672"/>
      <c r="B783" s="673"/>
      <c r="C783" s="454"/>
      <c r="D783" s="442"/>
      <c r="E783" s="962" t="s">
        <v>443</v>
      </c>
      <c r="F783" s="703"/>
      <c r="G783" s="704"/>
      <c r="H783" s="704"/>
      <c r="I783" s="704"/>
      <c r="J783" s="704"/>
      <c r="K783" s="389"/>
      <c r="L783" s="963"/>
      <c r="M783" s="963"/>
      <c r="N783" s="964">
        <v>19585.330000000002</v>
      </c>
      <c r="O783" s="874"/>
      <c r="P783" s="960"/>
      <c r="Q783" s="822"/>
      <c r="R783" s="961"/>
    </row>
    <row r="784" spans="1:18" s="444" customFormat="1" ht="36" customHeight="1">
      <c r="A784" s="672"/>
      <c r="B784" s="673"/>
      <c r="C784" s="454"/>
      <c r="D784" s="442"/>
      <c r="E784" s="962" t="s">
        <v>482</v>
      </c>
      <c r="F784" s="703"/>
      <c r="G784" s="704"/>
      <c r="H784" s="704"/>
      <c r="I784" s="704"/>
      <c r="J784" s="704"/>
      <c r="K784" s="389"/>
      <c r="L784" s="963"/>
      <c r="M784" s="963"/>
      <c r="N784" s="964">
        <v>0</v>
      </c>
      <c r="O784" s="874"/>
      <c r="P784" s="960"/>
      <c r="Q784" s="822"/>
      <c r="R784" s="961"/>
    </row>
    <row r="785" spans="1:18" s="444" customFormat="1" ht="36" customHeight="1">
      <c r="A785" s="672"/>
      <c r="B785" s="673"/>
      <c r="C785" s="454"/>
      <c r="D785" s="442"/>
      <c r="E785" s="962" t="s">
        <v>588</v>
      </c>
      <c r="F785" s="703"/>
      <c r="G785" s="704"/>
      <c r="H785" s="704"/>
      <c r="I785" s="704"/>
      <c r="J785" s="704"/>
      <c r="K785" s="389"/>
      <c r="L785" s="963"/>
      <c r="M785" s="963"/>
      <c r="N785" s="964">
        <v>0</v>
      </c>
      <c r="O785" s="874"/>
      <c r="P785" s="960"/>
      <c r="Q785" s="822"/>
      <c r="R785" s="961"/>
    </row>
    <row r="786" spans="1:18" s="444" customFormat="1" ht="36" customHeight="1">
      <c r="A786" s="672"/>
      <c r="B786" s="673"/>
      <c r="C786" s="454"/>
      <c r="D786" s="442"/>
      <c r="E786" s="962" t="s">
        <v>445</v>
      </c>
      <c r="F786" s="703"/>
      <c r="G786" s="704"/>
      <c r="H786" s="704"/>
      <c r="I786" s="704"/>
      <c r="J786" s="704"/>
      <c r="K786" s="389"/>
      <c r="L786" s="963"/>
      <c r="M786" s="963"/>
      <c r="N786" s="964">
        <v>26752.44</v>
      </c>
      <c r="O786" s="874"/>
      <c r="P786" s="960"/>
      <c r="Q786" s="822"/>
      <c r="R786" s="961"/>
    </row>
    <row r="787" spans="1:18" s="444" customFormat="1" ht="58.5" customHeight="1">
      <c r="A787" s="672"/>
      <c r="B787" s="673"/>
      <c r="C787" s="965"/>
      <c r="D787" s="442"/>
      <c r="E787" s="950" t="s">
        <v>446</v>
      </c>
      <c r="F787" s="955">
        <v>117300</v>
      </c>
      <c r="G787" s="955">
        <v>111778</v>
      </c>
      <c r="H787" s="955">
        <v>74715.13</v>
      </c>
      <c r="I787" s="704"/>
      <c r="J787" s="704"/>
      <c r="K787" s="532"/>
      <c r="L787" s="955">
        <v>499000</v>
      </c>
      <c r="M787" s="955">
        <v>501233</v>
      </c>
      <c r="N787" s="956">
        <f>SUM(N788:N808)</f>
        <v>92685.2</v>
      </c>
      <c r="O787" s="932">
        <f>N787/M787</f>
        <v>0.18491440108691964</v>
      </c>
      <c r="P787" s="960" t="s">
        <v>286</v>
      </c>
      <c r="Q787" s="822"/>
      <c r="R787" s="961"/>
    </row>
    <row r="788" spans="1:18" s="444" customFormat="1" ht="83.4" customHeight="1">
      <c r="A788" s="672"/>
      <c r="B788" s="673"/>
      <c r="C788" s="965"/>
      <c r="D788" s="442"/>
      <c r="E788" s="966" t="s">
        <v>447</v>
      </c>
      <c r="F788" s="967"/>
      <c r="G788" s="967"/>
      <c r="H788" s="967">
        <v>0</v>
      </c>
      <c r="I788" s="704"/>
      <c r="J788" s="704"/>
      <c r="K788" s="532"/>
      <c r="L788" s="967"/>
      <c r="M788" s="967"/>
      <c r="N788" s="968">
        <v>89.99</v>
      </c>
      <c r="O788" s="874"/>
      <c r="P788" s="960"/>
      <c r="Q788" s="822"/>
      <c r="R788" s="961"/>
    </row>
    <row r="789" spans="1:18" s="444" customFormat="1" ht="36" customHeight="1">
      <c r="A789" s="672"/>
      <c r="B789" s="673"/>
      <c r="C789" s="965"/>
      <c r="D789" s="442"/>
      <c r="E789" s="966" t="s">
        <v>448</v>
      </c>
      <c r="F789" s="967"/>
      <c r="G789" s="967"/>
      <c r="H789" s="967">
        <v>0</v>
      </c>
      <c r="I789" s="704"/>
      <c r="J789" s="704"/>
      <c r="K789" s="532"/>
      <c r="L789" s="967"/>
      <c r="M789" s="967"/>
      <c r="N789" s="968">
        <v>0</v>
      </c>
      <c r="O789" s="874"/>
      <c r="P789" s="960"/>
      <c r="Q789" s="822"/>
      <c r="R789" s="961"/>
    </row>
    <row r="790" spans="1:18" s="444" customFormat="1" ht="36" customHeight="1">
      <c r="A790" s="672"/>
      <c r="B790" s="673"/>
      <c r="C790" s="965"/>
      <c r="D790" s="442"/>
      <c r="E790" s="966" t="s">
        <v>449</v>
      </c>
      <c r="F790" s="967"/>
      <c r="G790" s="967"/>
      <c r="H790" s="967">
        <v>0</v>
      </c>
      <c r="I790" s="704"/>
      <c r="J790" s="704"/>
      <c r="K790" s="532"/>
      <c r="L790" s="967"/>
      <c r="M790" s="967"/>
      <c r="N790" s="968">
        <v>0</v>
      </c>
      <c r="O790" s="874"/>
      <c r="P790" s="960"/>
      <c r="Q790" s="822"/>
      <c r="R790" s="961"/>
    </row>
    <row r="791" spans="1:18" s="444" customFormat="1" ht="36" customHeight="1">
      <c r="A791" s="672"/>
      <c r="B791" s="673"/>
      <c r="C791" s="965"/>
      <c r="D791" s="442"/>
      <c r="E791" s="966" t="s">
        <v>450</v>
      </c>
      <c r="F791" s="967"/>
      <c r="G791" s="967"/>
      <c r="H791" s="967">
        <v>0</v>
      </c>
      <c r="I791" s="704"/>
      <c r="J791" s="704"/>
      <c r="K791" s="532"/>
      <c r="L791" s="967"/>
      <c r="M791" s="967"/>
      <c r="N791" s="968">
        <v>0</v>
      </c>
      <c r="O791" s="874"/>
      <c r="P791" s="960"/>
      <c r="Q791" s="822"/>
      <c r="R791" s="961"/>
    </row>
    <row r="792" spans="1:18" s="444" customFormat="1" ht="36" customHeight="1">
      <c r="A792" s="672"/>
      <c r="B792" s="673"/>
      <c r="C792" s="965"/>
      <c r="D792" s="442"/>
      <c r="E792" s="966" t="s">
        <v>451</v>
      </c>
      <c r="F792" s="967"/>
      <c r="G792" s="967"/>
      <c r="H792" s="967">
        <v>0</v>
      </c>
      <c r="I792" s="704"/>
      <c r="J792" s="704"/>
      <c r="K792" s="532"/>
      <c r="L792" s="967"/>
      <c r="M792" s="967"/>
      <c r="N792" s="968">
        <v>0</v>
      </c>
      <c r="O792" s="874"/>
      <c r="P792" s="960"/>
      <c r="Q792" s="822"/>
      <c r="R792" s="961"/>
    </row>
    <row r="793" spans="1:18" s="444" customFormat="1" ht="41.25" customHeight="1">
      <c r="A793" s="672"/>
      <c r="B793" s="673"/>
      <c r="C793" s="965"/>
      <c r="D793" s="442"/>
      <c r="E793" s="969" t="s">
        <v>589</v>
      </c>
      <c r="F793" s="967"/>
      <c r="G793" s="967"/>
      <c r="H793" s="967">
        <v>4300</v>
      </c>
      <c r="I793" s="704"/>
      <c r="J793" s="704"/>
      <c r="K793" s="532"/>
      <c r="L793" s="967"/>
      <c r="M793" s="967"/>
      <c r="N793" s="968">
        <v>37.9</v>
      </c>
      <c r="O793" s="874"/>
      <c r="P793" s="960"/>
      <c r="Q793" s="822"/>
      <c r="R793" s="961"/>
    </row>
    <row r="794" spans="1:18" s="444" customFormat="1" ht="84" customHeight="1">
      <c r="A794" s="672"/>
      <c r="B794" s="673"/>
      <c r="C794" s="965"/>
      <c r="D794" s="442"/>
      <c r="E794" s="966" t="s">
        <v>453</v>
      </c>
      <c r="F794" s="967"/>
      <c r="G794" s="967"/>
      <c r="H794" s="967">
        <v>0</v>
      </c>
      <c r="I794" s="704"/>
      <c r="J794" s="704"/>
      <c r="K794" s="532"/>
      <c r="L794" s="967"/>
      <c r="M794" s="967"/>
      <c r="N794" s="968">
        <v>0</v>
      </c>
      <c r="O794" s="874"/>
      <c r="P794" s="960"/>
      <c r="Q794" s="822"/>
      <c r="R794" s="961"/>
    </row>
    <row r="795" spans="1:18" s="444" customFormat="1" ht="54.75" customHeight="1">
      <c r="A795" s="672"/>
      <c r="B795" s="673"/>
      <c r="C795" s="965"/>
      <c r="D795" s="442"/>
      <c r="E795" s="966" t="s">
        <v>454</v>
      </c>
      <c r="F795" s="967"/>
      <c r="G795" s="967"/>
      <c r="H795" s="967">
        <v>0</v>
      </c>
      <c r="I795" s="704"/>
      <c r="J795" s="704"/>
      <c r="K795" s="532"/>
      <c r="L795" s="967"/>
      <c r="M795" s="967"/>
      <c r="N795" s="968">
        <v>0</v>
      </c>
      <c r="O795" s="874"/>
      <c r="P795" s="960"/>
      <c r="Q795" s="822"/>
      <c r="R795" s="961"/>
    </row>
    <row r="796" spans="1:18" s="444" customFormat="1" ht="36" customHeight="1">
      <c r="A796" s="672"/>
      <c r="B796" s="673"/>
      <c r="C796" s="965"/>
      <c r="D796" s="442"/>
      <c r="E796" s="966" t="s">
        <v>455</v>
      </c>
      <c r="F796" s="967"/>
      <c r="G796" s="967"/>
      <c r="H796" s="967">
        <v>0</v>
      </c>
      <c r="I796" s="704"/>
      <c r="J796" s="704"/>
      <c r="K796" s="532"/>
      <c r="L796" s="967"/>
      <c r="M796" s="967"/>
      <c r="N796" s="968">
        <v>470.72</v>
      </c>
      <c r="O796" s="874"/>
      <c r="P796" s="960"/>
      <c r="Q796" s="822"/>
      <c r="R796" s="961"/>
    </row>
    <row r="797" spans="1:18" s="444" customFormat="1" ht="54.75" customHeight="1">
      <c r="A797" s="672"/>
      <c r="B797" s="673"/>
      <c r="C797" s="965"/>
      <c r="D797" s="442"/>
      <c r="E797" s="966" t="s">
        <v>456</v>
      </c>
      <c r="F797" s="967"/>
      <c r="G797" s="967"/>
      <c r="H797" s="967">
        <v>0</v>
      </c>
      <c r="I797" s="704"/>
      <c r="J797" s="704"/>
      <c r="K797" s="532"/>
      <c r="L797" s="967"/>
      <c r="M797" s="967"/>
      <c r="N797" s="968">
        <v>0</v>
      </c>
      <c r="O797" s="874"/>
      <c r="P797" s="960"/>
      <c r="Q797" s="822"/>
      <c r="R797" s="961"/>
    </row>
    <row r="798" spans="1:18" s="444" customFormat="1" ht="36" customHeight="1">
      <c r="A798" s="672"/>
      <c r="B798" s="673"/>
      <c r="C798" s="965"/>
      <c r="D798" s="442"/>
      <c r="E798" s="966" t="s">
        <v>457</v>
      </c>
      <c r="F798" s="967"/>
      <c r="G798" s="967"/>
      <c r="H798" s="967">
        <v>0</v>
      </c>
      <c r="I798" s="704"/>
      <c r="J798" s="704"/>
      <c r="K798" s="532"/>
      <c r="L798" s="967"/>
      <c r="M798" s="967"/>
      <c r="N798" s="968">
        <v>0</v>
      </c>
      <c r="O798" s="874"/>
      <c r="P798" s="960"/>
      <c r="Q798" s="822"/>
      <c r="R798" s="961"/>
    </row>
    <row r="799" spans="1:18" s="444" customFormat="1" ht="54.75" customHeight="1">
      <c r="A799" s="672"/>
      <c r="B799" s="673"/>
      <c r="C799" s="965"/>
      <c r="D799" s="442"/>
      <c r="E799" s="966" t="s">
        <v>458</v>
      </c>
      <c r="F799" s="967"/>
      <c r="G799" s="967"/>
      <c r="H799" s="967">
        <v>0</v>
      </c>
      <c r="I799" s="704"/>
      <c r="J799" s="704"/>
      <c r="K799" s="532"/>
      <c r="L799" s="967"/>
      <c r="M799" s="967"/>
      <c r="N799" s="968">
        <v>0</v>
      </c>
      <c r="O799" s="874"/>
      <c r="P799" s="960"/>
      <c r="Q799" s="822"/>
      <c r="R799" s="961"/>
    </row>
    <row r="800" spans="1:18" s="444" customFormat="1" ht="36" customHeight="1">
      <c r="A800" s="672"/>
      <c r="B800" s="673"/>
      <c r="C800" s="965"/>
      <c r="D800" s="442"/>
      <c r="E800" s="966" t="s">
        <v>459</v>
      </c>
      <c r="F800" s="970"/>
      <c r="G800" s="970"/>
      <c r="H800" s="967">
        <v>32231.32</v>
      </c>
      <c r="I800" s="704"/>
      <c r="J800" s="704"/>
      <c r="K800" s="532"/>
      <c r="L800" s="970"/>
      <c r="M800" s="970"/>
      <c r="N800" s="968">
        <v>2332.8000000000002</v>
      </c>
      <c r="O800" s="874"/>
      <c r="P800" s="960"/>
      <c r="Q800" s="822"/>
      <c r="R800" s="961"/>
    </row>
    <row r="801" spans="1:18" s="444" customFormat="1" ht="36" customHeight="1">
      <c r="A801" s="672"/>
      <c r="B801" s="673"/>
      <c r="C801" s="965"/>
      <c r="D801" s="442"/>
      <c r="E801" s="966" t="s">
        <v>460</v>
      </c>
      <c r="F801" s="970"/>
      <c r="G801" s="970"/>
      <c r="H801" s="967">
        <v>0</v>
      </c>
      <c r="I801" s="704"/>
      <c r="J801" s="704"/>
      <c r="K801" s="532"/>
      <c r="L801" s="970"/>
      <c r="M801" s="970"/>
      <c r="N801" s="968">
        <v>648</v>
      </c>
      <c r="O801" s="874"/>
      <c r="P801" s="960"/>
      <c r="Q801" s="822"/>
      <c r="R801" s="961"/>
    </row>
    <row r="802" spans="1:18" s="444" customFormat="1" ht="36" customHeight="1">
      <c r="A802" s="672"/>
      <c r="B802" s="673"/>
      <c r="C802" s="965"/>
      <c r="D802" s="442"/>
      <c r="E802" s="966" t="s">
        <v>461</v>
      </c>
      <c r="F802" s="970"/>
      <c r="G802" s="970"/>
      <c r="H802" s="967">
        <v>692</v>
      </c>
      <c r="I802" s="704"/>
      <c r="J802" s="704"/>
      <c r="K802" s="532"/>
      <c r="L802" s="970"/>
      <c r="M802" s="970"/>
      <c r="N802" s="968">
        <v>0</v>
      </c>
      <c r="O802" s="874"/>
      <c r="P802" s="960"/>
      <c r="Q802" s="822"/>
      <c r="R802" s="961"/>
    </row>
    <row r="803" spans="1:18" s="444" customFormat="1" ht="36" customHeight="1">
      <c r="A803" s="672"/>
      <c r="B803" s="673"/>
      <c r="C803" s="965"/>
      <c r="D803" s="442"/>
      <c r="E803" s="966" t="s">
        <v>462</v>
      </c>
      <c r="F803" s="970"/>
      <c r="G803" s="970"/>
      <c r="H803" s="967">
        <v>35817</v>
      </c>
      <c r="I803" s="704"/>
      <c r="J803" s="704"/>
      <c r="K803" s="532"/>
      <c r="L803" s="970"/>
      <c r="M803" s="970"/>
      <c r="N803" s="968">
        <v>9427</v>
      </c>
      <c r="O803" s="874"/>
      <c r="P803" s="960"/>
      <c r="Q803" s="822"/>
      <c r="R803" s="961"/>
    </row>
    <row r="804" spans="1:18" s="444" customFormat="1" ht="36" customHeight="1">
      <c r="A804" s="672"/>
      <c r="B804" s="673"/>
      <c r="C804" s="965"/>
      <c r="D804" s="442"/>
      <c r="E804" s="966" t="s">
        <v>463</v>
      </c>
      <c r="F804" s="970"/>
      <c r="G804" s="970"/>
      <c r="H804" s="967">
        <v>0</v>
      </c>
      <c r="I804" s="704"/>
      <c r="J804" s="704"/>
      <c r="K804" s="532"/>
      <c r="L804" s="970"/>
      <c r="M804" s="970"/>
      <c r="N804" s="968">
        <v>52134.79</v>
      </c>
      <c r="O804" s="874"/>
      <c r="P804" s="960"/>
      <c r="Q804" s="822"/>
      <c r="R804" s="961"/>
    </row>
    <row r="805" spans="1:18" s="444" customFormat="1" ht="61.5" customHeight="1">
      <c r="A805" s="672"/>
      <c r="B805" s="673"/>
      <c r="C805" s="965"/>
      <c r="D805" s="442"/>
      <c r="E805" s="966" t="s">
        <v>464</v>
      </c>
      <c r="F805" s="970"/>
      <c r="G805" s="970"/>
      <c r="H805" s="967">
        <v>0</v>
      </c>
      <c r="I805" s="704"/>
      <c r="J805" s="704"/>
      <c r="K805" s="532"/>
      <c r="L805" s="970"/>
      <c r="M805" s="970"/>
      <c r="N805" s="968">
        <v>299</v>
      </c>
      <c r="O805" s="874"/>
      <c r="P805" s="960"/>
      <c r="Q805" s="822"/>
      <c r="R805" s="961"/>
    </row>
    <row r="806" spans="1:18" s="444" customFormat="1" ht="36" customHeight="1">
      <c r="A806" s="672"/>
      <c r="B806" s="673"/>
      <c r="C806" s="965"/>
      <c r="D806" s="442"/>
      <c r="E806" s="966" t="s">
        <v>465</v>
      </c>
      <c r="F806" s="970"/>
      <c r="G806" s="970"/>
      <c r="H806" s="967">
        <v>0</v>
      </c>
      <c r="I806" s="704"/>
      <c r="J806" s="704"/>
      <c r="K806" s="532"/>
      <c r="L806" s="970"/>
      <c r="M806" s="970"/>
      <c r="N806" s="968">
        <v>0</v>
      </c>
      <c r="O806" s="874"/>
      <c r="P806" s="960"/>
      <c r="Q806" s="822"/>
      <c r="R806" s="961"/>
    </row>
    <row r="807" spans="1:18" s="444" customFormat="1" ht="36" customHeight="1">
      <c r="A807" s="672"/>
      <c r="B807" s="673"/>
      <c r="C807" s="965"/>
      <c r="D807" s="442"/>
      <c r="E807" s="966" t="s">
        <v>466</v>
      </c>
      <c r="F807" s="970"/>
      <c r="G807" s="970"/>
      <c r="H807" s="967">
        <v>0</v>
      </c>
      <c r="I807" s="704"/>
      <c r="J807" s="704"/>
      <c r="K807" s="532"/>
      <c r="L807" s="970"/>
      <c r="M807" s="970"/>
      <c r="N807" s="968">
        <v>0</v>
      </c>
      <c r="O807" s="874"/>
      <c r="P807" s="960"/>
      <c r="Q807" s="822"/>
      <c r="R807" s="961"/>
    </row>
    <row r="808" spans="1:18" s="444" customFormat="1" ht="69.75" customHeight="1">
      <c r="A808" s="672"/>
      <c r="B808" s="673"/>
      <c r="C808" s="965"/>
      <c r="D808" s="442"/>
      <c r="E808" s="966" t="s">
        <v>590</v>
      </c>
      <c r="F808" s="970"/>
      <c r="G808" s="970"/>
      <c r="H808" s="967">
        <v>1674.81</v>
      </c>
      <c r="I808" s="704"/>
      <c r="J808" s="704"/>
      <c r="K808" s="532"/>
      <c r="L808" s="970"/>
      <c r="M808" s="970"/>
      <c r="N808" s="968">
        <v>27245</v>
      </c>
      <c r="O808" s="874"/>
      <c r="P808" s="960"/>
      <c r="Q808" s="822"/>
      <c r="R808" s="961"/>
    </row>
    <row r="809" spans="1:18" s="444" customFormat="1" ht="57" customHeight="1">
      <c r="A809" s="672"/>
      <c r="B809" s="673"/>
      <c r="C809" s="965"/>
      <c r="D809" s="442"/>
      <c r="E809" s="950" t="s">
        <v>467</v>
      </c>
      <c r="F809" s="955">
        <v>117300</v>
      </c>
      <c r="G809" s="955">
        <v>111778</v>
      </c>
      <c r="H809" s="955">
        <v>74715.13</v>
      </c>
      <c r="I809" s="704"/>
      <c r="J809" s="704"/>
      <c r="K809" s="532"/>
      <c r="L809" s="955">
        <v>0</v>
      </c>
      <c r="M809" s="955">
        <v>0</v>
      </c>
      <c r="N809" s="955">
        <v>0</v>
      </c>
      <c r="O809" s="932">
        <v>0</v>
      </c>
      <c r="P809" s="960" t="s">
        <v>286</v>
      </c>
      <c r="Q809" s="822"/>
      <c r="R809" s="961"/>
    </row>
    <row r="810" spans="1:18" s="272" customFormat="1" ht="53.25" customHeight="1">
      <c r="A810" s="492"/>
      <c r="B810" s="178"/>
      <c r="C810" s="458">
        <v>2</v>
      </c>
      <c r="D810" s="184"/>
      <c r="E810" s="466" t="s">
        <v>233</v>
      </c>
      <c r="F810" s="255"/>
      <c r="G810" s="460"/>
      <c r="H810" s="460"/>
      <c r="I810" s="460"/>
      <c r="J810" s="460"/>
      <c r="K810" s="460">
        <f>404000+11883+418530+16087+7000+1500</f>
        <v>859000</v>
      </c>
      <c r="L810" s="460">
        <f>L811+L830+L852</f>
        <v>859000</v>
      </c>
      <c r="M810" s="460">
        <f t="shared" ref="M810:N810" si="130">M811+M830+M852</f>
        <v>859000</v>
      </c>
      <c r="N810" s="460">
        <f t="shared" si="130"/>
        <v>280910.22000000003</v>
      </c>
      <c r="O810" s="917">
        <f>N810/M810</f>
        <v>0.32702004656577421</v>
      </c>
      <c r="P810" s="781" t="s">
        <v>286</v>
      </c>
    </row>
    <row r="811" spans="1:18" s="435" customFormat="1" ht="50.25" customHeight="1">
      <c r="A811" s="705"/>
      <c r="B811" s="949"/>
      <c r="C811" s="463"/>
      <c r="D811" s="448"/>
      <c r="E811" s="1026" t="s">
        <v>435</v>
      </c>
      <c r="F811" s="951"/>
      <c r="G811" s="952"/>
      <c r="H811" s="952"/>
      <c r="I811" s="952"/>
      <c r="J811" s="953"/>
      <c r="K811" s="954"/>
      <c r="L811" s="955">
        <v>404000</v>
      </c>
      <c r="M811" s="955">
        <v>400897</v>
      </c>
      <c r="N811" s="956">
        <f>SUM(N813:N829)</f>
        <v>186787.75000000003</v>
      </c>
      <c r="O811" s="932">
        <f>N811/M811</f>
        <v>0.46592453922079741</v>
      </c>
      <c r="P811" s="957" t="s">
        <v>286</v>
      </c>
      <c r="Q811" s="823"/>
      <c r="R811" s="958"/>
    </row>
    <row r="812" spans="1:18" s="444" customFormat="1" ht="34.5" customHeight="1">
      <c r="A812" s="672"/>
      <c r="B812" s="673"/>
      <c r="C812" s="454"/>
      <c r="D812" s="442"/>
      <c r="E812" s="1024" t="s">
        <v>16</v>
      </c>
      <c r="F812" s="703"/>
      <c r="G812" s="704"/>
      <c r="H812" s="704"/>
      <c r="I812" s="704"/>
      <c r="J812" s="704"/>
      <c r="K812" s="389"/>
      <c r="L812" s="666"/>
      <c r="M812" s="666"/>
      <c r="N812" s="666"/>
      <c r="O812" s="874"/>
      <c r="P812" s="960"/>
      <c r="Q812" s="822"/>
      <c r="R812" s="961"/>
    </row>
    <row r="813" spans="1:18" s="444" customFormat="1" ht="36" customHeight="1">
      <c r="A813" s="672"/>
      <c r="B813" s="673"/>
      <c r="C813" s="454"/>
      <c r="D813" s="429"/>
      <c r="E813" s="1025" t="s">
        <v>476</v>
      </c>
      <c r="F813" s="703"/>
      <c r="G813" s="704"/>
      <c r="H813" s="704"/>
      <c r="I813" s="704"/>
      <c r="J813" s="704"/>
      <c r="K813" s="389"/>
      <c r="L813" s="963"/>
      <c r="M813" s="963"/>
      <c r="N813" s="964">
        <v>0</v>
      </c>
      <c r="O813" s="874"/>
      <c r="P813" s="960"/>
      <c r="Q813" s="822"/>
      <c r="R813" s="961"/>
    </row>
    <row r="814" spans="1:18" s="444" customFormat="1" ht="57" customHeight="1">
      <c r="A814" s="672"/>
      <c r="B814" s="673"/>
      <c r="C814" s="454"/>
      <c r="D814" s="442"/>
      <c r="E814" s="1025" t="s">
        <v>469</v>
      </c>
      <c r="F814" s="703"/>
      <c r="G814" s="704"/>
      <c r="H814" s="704"/>
      <c r="I814" s="704"/>
      <c r="J814" s="704"/>
      <c r="K814" s="389"/>
      <c r="L814" s="963"/>
      <c r="M814" s="963"/>
      <c r="N814" s="964">
        <v>0</v>
      </c>
      <c r="O814" s="874"/>
      <c r="P814" s="960"/>
      <c r="Q814" s="822"/>
      <c r="R814" s="961"/>
    </row>
    <row r="815" spans="1:18" s="444" customFormat="1" ht="36" customHeight="1">
      <c r="A815" s="672"/>
      <c r="B815" s="673"/>
      <c r="C815" s="454"/>
      <c r="D815" s="442"/>
      <c r="E815" s="1025" t="s">
        <v>477</v>
      </c>
      <c r="F815" s="703"/>
      <c r="G815" s="704"/>
      <c r="H815" s="704"/>
      <c r="I815" s="704"/>
      <c r="J815" s="704"/>
      <c r="K815" s="389"/>
      <c r="L815" s="963"/>
      <c r="M815" s="963"/>
      <c r="N815" s="964">
        <v>0</v>
      </c>
      <c r="O815" s="874"/>
      <c r="P815" s="960"/>
      <c r="Q815" s="822"/>
      <c r="R815" s="961"/>
    </row>
    <row r="816" spans="1:18" s="444" customFormat="1" ht="36" customHeight="1">
      <c r="A816" s="672"/>
      <c r="B816" s="673"/>
      <c r="C816" s="454"/>
      <c r="D816" s="442"/>
      <c r="E816" s="1025" t="s">
        <v>478</v>
      </c>
      <c r="F816" s="703"/>
      <c r="G816" s="704"/>
      <c r="H816" s="704"/>
      <c r="I816" s="704"/>
      <c r="J816" s="704"/>
      <c r="K816" s="389"/>
      <c r="L816" s="963"/>
      <c r="M816" s="963"/>
      <c r="N816" s="964">
        <v>0</v>
      </c>
      <c r="O816" s="874"/>
      <c r="P816" s="960"/>
      <c r="Q816" s="822"/>
      <c r="R816" s="961"/>
    </row>
    <row r="817" spans="1:18" s="444" customFormat="1" ht="36" customHeight="1">
      <c r="A817" s="672"/>
      <c r="B817" s="673"/>
      <c r="C817" s="454"/>
      <c r="D817" s="442"/>
      <c r="E817" s="1025" t="s">
        <v>471</v>
      </c>
      <c r="F817" s="703"/>
      <c r="G817" s="704"/>
      <c r="H817" s="704"/>
      <c r="I817" s="704"/>
      <c r="J817" s="704"/>
      <c r="K817" s="389"/>
      <c r="L817" s="963"/>
      <c r="M817" s="963"/>
      <c r="N817" s="964">
        <v>0</v>
      </c>
      <c r="O817" s="874"/>
      <c r="P817" s="960"/>
      <c r="Q817" s="822"/>
      <c r="R817" s="961"/>
    </row>
    <row r="818" spans="1:18" s="444" customFormat="1" ht="36" customHeight="1">
      <c r="A818" s="672"/>
      <c r="B818" s="673"/>
      <c r="C818" s="454"/>
      <c r="D818" s="442"/>
      <c r="E818" s="1025" t="s">
        <v>437</v>
      </c>
      <c r="F818" s="703"/>
      <c r="G818" s="704"/>
      <c r="H818" s="704"/>
      <c r="I818" s="704"/>
      <c r="J818" s="704"/>
      <c r="K818" s="389"/>
      <c r="L818" s="963"/>
      <c r="M818" s="963"/>
      <c r="N818" s="964">
        <v>0</v>
      </c>
      <c r="O818" s="874"/>
      <c r="P818" s="960"/>
      <c r="Q818" s="822"/>
      <c r="R818" s="961"/>
    </row>
    <row r="819" spans="1:18" s="444" customFormat="1" ht="36" customHeight="1">
      <c r="A819" s="672"/>
      <c r="B819" s="673"/>
      <c r="C819" s="454"/>
      <c r="D819" s="442"/>
      <c r="E819" s="1025" t="s">
        <v>438</v>
      </c>
      <c r="F819" s="703"/>
      <c r="G819" s="704"/>
      <c r="H819" s="704"/>
      <c r="I819" s="704"/>
      <c r="J819" s="704"/>
      <c r="K819" s="389"/>
      <c r="L819" s="963"/>
      <c r="M819" s="963"/>
      <c r="N819" s="964">
        <v>0</v>
      </c>
      <c r="O819" s="874"/>
      <c r="P819" s="960"/>
      <c r="Q819" s="822"/>
      <c r="R819" s="961"/>
    </row>
    <row r="820" spans="1:18" s="444" customFormat="1" ht="36" customHeight="1">
      <c r="A820" s="672"/>
      <c r="B820" s="673"/>
      <c r="C820" s="454"/>
      <c r="D820" s="442"/>
      <c r="E820" s="1025" t="s">
        <v>480</v>
      </c>
      <c r="F820" s="703"/>
      <c r="G820" s="704"/>
      <c r="H820" s="704"/>
      <c r="I820" s="704"/>
      <c r="J820" s="704"/>
      <c r="K820" s="389"/>
      <c r="L820" s="963"/>
      <c r="M820" s="963"/>
      <c r="N820" s="964">
        <v>0</v>
      </c>
      <c r="O820" s="874"/>
      <c r="P820" s="960"/>
      <c r="Q820" s="822"/>
      <c r="R820" s="961"/>
    </row>
    <row r="821" spans="1:18" s="444" customFormat="1" ht="36" customHeight="1">
      <c r="A821" s="672"/>
      <c r="B821" s="673"/>
      <c r="C821" s="454"/>
      <c r="D821" s="442"/>
      <c r="E821" s="1025" t="s">
        <v>439</v>
      </c>
      <c r="F821" s="703"/>
      <c r="G821" s="704"/>
      <c r="H821" s="704"/>
      <c r="I821" s="704"/>
      <c r="J821" s="704"/>
      <c r="K821" s="389"/>
      <c r="L821" s="963"/>
      <c r="M821" s="963"/>
      <c r="N821" s="964">
        <v>0</v>
      </c>
      <c r="O821" s="874"/>
      <c r="P821" s="960"/>
      <c r="Q821" s="822"/>
      <c r="R821" s="961"/>
    </row>
    <row r="822" spans="1:18" s="444" customFormat="1" ht="36" customHeight="1">
      <c r="A822" s="672"/>
      <c r="B822" s="673"/>
      <c r="C822" s="454"/>
      <c r="D822" s="442"/>
      <c r="E822" s="1025" t="s">
        <v>440</v>
      </c>
      <c r="F822" s="703"/>
      <c r="G822" s="704"/>
      <c r="H822" s="704"/>
      <c r="I822" s="704"/>
      <c r="J822" s="704"/>
      <c r="K822" s="389"/>
      <c r="L822" s="963"/>
      <c r="M822" s="963"/>
      <c r="N822" s="964">
        <v>0</v>
      </c>
      <c r="O822" s="874"/>
      <c r="P822" s="960"/>
      <c r="Q822" s="822"/>
      <c r="R822" s="961"/>
    </row>
    <row r="823" spans="1:18" s="444" customFormat="1" ht="36" customHeight="1">
      <c r="A823" s="672"/>
      <c r="B823" s="673"/>
      <c r="C823" s="454"/>
      <c r="D823" s="442"/>
      <c r="E823" s="1025" t="s">
        <v>441</v>
      </c>
      <c r="F823" s="703"/>
      <c r="G823" s="704"/>
      <c r="H823" s="704"/>
      <c r="I823" s="704"/>
      <c r="J823" s="704"/>
      <c r="K823" s="389"/>
      <c r="L823" s="963"/>
      <c r="M823" s="963"/>
      <c r="N823" s="964">
        <v>0</v>
      </c>
      <c r="O823" s="874"/>
      <c r="P823" s="960"/>
      <c r="Q823" s="822"/>
      <c r="R823" s="961"/>
    </row>
    <row r="824" spans="1:18" s="444" customFormat="1" ht="57" customHeight="1">
      <c r="A824" s="672"/>
      <c r="B824" s="673"/>
      <c r="C824" s="454"/>
      <c r="D824" s="442"/>
      <c r="E824" s="1025" t="s">
        <v>587</v>
      </c>
      <c r="F824" s="703"/>
      <c r="G824" s="704"/>
      <c r="H824" s="704"/>
      <c r="I824" s="704"/>
      <c r="J824" s="704"/>
      <c r="K824" s="389"/>
      <c r="L824" s="963"/>
      <c r="M824" s="963"/>
      <c r="N824" s="964">
        <v>139768.17000000001</v>
      </c>
      <c r="O824" s="874"/>
      <c r="P824" s="960"/>
      <c r="Q824" s="822"/>
      <c r="R824" s="961"/>
    </row>
    <row r="825" spans="1:18" s="444" customFormat="1" ht="36" customHeight="1">
      <c r="A825" s="672"/>
      <c r="B825" s="673"/>
      <c r="C825" s="454"/>
      <c r="D825" s="442"/>
      <c r="E825" s="1025" t="s">
        <v>442</v>
      </c>
      <c r="F825" s="703"/>
      <c r="G825" s="704"/>
      <c r="H825" s="704"/>
      <c r="I825" s="704"/>
      <c r="J825" s="704"/>
      <c r="K825" s="389"/>
      <c r="L825" s="963"/>
      <c r="M825" s="963"/>
      <c r="N825" s="964">
        <v>0</v>
      </c>
      <c r="O825" s="874"/>
      <c r="P825" s="960"/>
      <c r="Q825" s="822"/>
      <c r="R825" s="961"/>
    </row>
    <row r="826" spans="1:18" s="444" customFormat="1" ht="36" customHeight="1">
      <c r="A826" s="672"/>
      <c r="B826" s="673"/>
      <c r="C826" s="454"/>
      <c r="D826" s="442"/>
      <c r="E826" s="1025" t="s">
        <v>443</v>
      </c>
      <c r="F826" s="703"/>
      <c r="G826" s="704"/>
      <c r="H826" s="704"/>
      <c r="I826" s="704"/>
      <c r="J826" s="704"/>
      <c r="K826" s="389"/>
      <c r="L826" s="963"/>
      <c r="M826" s="963"/>
      <c r="N826" s="964">
        <v>19864.009999999998</v>
      </c>
      <c r="O826" s="874"/>
      <c r="P826" s="960"/>
      <c r="Q826" s="822"/>
      <c r="R826" s="961"/>
    </row>
    <row r="827" spans="1:18" s="444" customFormat="1" ht="36" customHeight="1">
      <c r="A827" s="672"/>
      <c r="B827" s="673"/>
      <c r="C827" s="454"/>
      <c r="D827" s="442"/>
      <c r="E827" s="1025" t="s">
        <v>482</v>
      </c>
      <c r="F827" s="703"/>
      <c r="G827" s="704"/>
      <c r="H827" s="704"/>
      <c r="I827" s="704"/>
      <c r="J827" s="704"/>
      <c r="K827" s="389"/>
      <c r="L827" s="963"/>
      <c r="M827" s="963"/>
      <c r="N827" s="964">
        <v>0</v>
      </c>
      <c r="O827" s="874"/>
      <c r="P827" s="960"/>
      <c r="Q827" s="822"/>
      <c r="R827" s="961"/>
    </row>
    <row r="828" spans="1:18" s="444" customFormat="1" ht="51" customHeight="1">
      <c r="A828" s="672"/>
      <c r="B828" s="673"/>
      <c r="C828" s="454"/>
      <c r="D828" s="442"/>
      <c r="E828" s="1025" t="s">
        <v>624</v>
      </c>
      <c r="F828" s="703"/>
      <c r="G828" s="704"/>
      <c r="H828" s="704"/>
      <c r="I828" s="704"/>
      <c r="J828" s="704"/>
      <c r="K828" s="389"/>
      <c r="L828" s="963"/>
      <c r="M828" s="963"/>
      <c r="N828" s="964">
        <v>162.88</v>
      </c>
      <c r="O828" s="874"/>
      <c r="P828" s="960"/>
      <c r="Q828" s="822"/>
      <c r="R828" s="961"/>
    </row>
    <row r="829" spans="1:18" s="444" customFormat="1" ht="36" customHeight="1">
      <c r="A829" s="672"/>
      <c r="B829" s="673"/>
      <c r="C829" s="454"/>
      <c r="D829" s="442"/>
      <c r="E829" s="1025" t="s">
        <v>445</v>
      </c>
      <c r="F829" s="703"/>
      <c r="G829" s="704"/>
      <c r="H829" s="704"/>
      <c r="I829" s="704"/>
      <c r="J829" s="704"/>
      <c r="K829" s="389"/>
      <c r="L829" s="963"/>
      <c r="M829" s="963"/>
      <c r="N829" s="964">
        <v>26992.69</v>
      </c>
      <c r="O829" s="874"/>
      <c r="P829" s="960"/>
      <c r="Q829" s="822"/>
      <c r="R829" s="961"/>
    </row>
    <row r="830" spans="1:18" s="444" customFormat="1" ht="58.5" customHeight="1">
      <c r="A830" s="672"/>
      <c r="B830" s="673"/>
      <c r="C830" s="965"/>
      <c r="D830" s="442"/>
      <c r="E830" s="1026" t="s">
        <v>446</v>
      </c>
      <c r="F830" s="955">
        <v>117300</v>
      </c>
      <c r="G830" s="955">
        <v>111778</v>
      </c>
      <c r="H830" s="955">
        <v>74715.13</v>
      </c>
      <c r="I830" s="704"/>
      <c r="J830" s="704"/>
      <c r="K830" s="532"/>
      <c r="L830" s="955">
        <v>455000</v>
      </c>
      <c r="M830" s="955">
        <v>458103</v>
      </c>
      <c r="N830" s="956">
        <f>SUM(N831:N851)</f>
        <v>94122.470000000016</v>
      </c>
      <c r="O830" s="932">
        <f>N830/M830</f>
        <v>0.2054613700412353</v>
      </c>
      <c r="P830" s="960" t="s">
        <v>286</v>
      </c>
      <c r="Q830" s="822"/>
      <c r="R830" s="961"/>
    </row>
    <row r="831" spans="1:18" s="444" customFormat="1" ht="83.25" customHeight="1">
      <c r="A831" s="672"/>
      <c r="B831" s="673"/>
      <c r="C831" s="965"/>
      <c r="D831" s="442"/>
      <c r="E831" s="1027" t="s">
        <v>447</v>
      </c>
      <c r="F831" s="967"/>
      <c r="G831" s="967"/>
      <c r="H831" s="967">
        <v>0</v>
      </c>
      <c r="I831" s="704"/>
      <c r="J831" s="704"/>
      <c r="K831" s="532"/>
      <c r="L831" s="967"/>
      <c r="M831" s="967"/>
      <c r="N831" s="968">
        <v>391.37</v>
      </c>
      <c r="O831" s="874"/>
      <c r="P831" s="960"/>
      <c r="Q831" s="822"/>
      <c r="R831" s="961"/>
    </row>
    <row r="832" spans="1:18" s="444" customFormat="1" ht="36" customHeight="1">
      <c r="A832" s="672"/>
      <c r="B832" s="673"/>
      <c r="C832" s="965"/>
      <c r="D832" s="442"/>
      <c r="E832" s="1027" t="s">
        <v>448</v>
      </c>
      <c r="F832" s="967"/>
      <c r="G832" s="967"/>
      <c r="H832" s="967">
        <v>0</v>
      </c>
      <c r="I832" s="704"/>
      <c r="J832" s="704"/>
      <c r="K832" s="532"/>
      <c r="L832" s="967"/>
      <c r="M832" s="967"/>
      <c r="N832" s="968">
        <v>0</v>
      </c>
      <c r="O832" s="874"/>
      <c r="P832" s="960"/>
      <c r="Q832" s="822"/>
      <c r="R832" s="961"/>
    </row>
    <row r="833" spans="1:18" s="444" customFormat="1" ht="36" customHeight="1">
      <c r="A833" s="672"/>
      <c r="B833" s="673"/>
      <c r="C833" s="965"/>
      <c r="D833" s="442"/>
      <c r="E833" s="1027" t="s">
        <v>449</v>
      </c>
      <c r="F833" s="967"/>
      <c r="G833" s="967"/>
      <c r="H833" s="967">
        <v>0</v>
      </c>
      <c r="I833" s="704"/>
      <c r="J833" s="704"/>
      <c r="K833" s="532"/>
      <c r="L833" s="967"/>
      <c r="M833" s="967"/>
      <c r="N833" s="968">
        <v>0</v>
      </c>
      <c r="O833" s="874"/>
      <c r="P833" s="960"/>
      <c r="Q833" s="822"/>
      <c r="R833" s="961"/>
    </row>
    <row r="834" spans="1:18" s="444" customFormat="1" ht="36" customHeight="1">
      <c r="A834" s="672"/>
      <c r="B834" s="673"/>
      <c r="C834" s="965"/>
      <c r="D834" s="442"/>
      <c r="E834" s="1027" t="s">
        <v>450</v>
      </c>
      <c r="F834" s="967"/>
      <c r="G834" s="967"/>
      <c r="H834" s="967">
        <v>0</v>
      </c>
      <c r="I834" s="704"/>
      <c r="J834" s="704"/>
      <c r="K834" s="532"/>
      <c r="L834" s="967"/>
      <c r="M834" s="967"/>
      <c r="N834" s="968">
        <v>0</v>
      </c>
      <c r="O834" s="874"/>
      <c r="P834" s="960"/>
      <c r="Q834" s="822"/>
      <c r="R834" s="961"/>
    </row>
    <row r="835" spans="1:18" s="444" customFormat="1" ht="36" customHeight="1">
      <c r="A835" s="672"/>
      <c r="B835" s="673"/>
      <c r="C835" s="965"/>
      <c r="D835" s="442"/>
      <c r="E835" s="1027" t="s">
        <v>451</v>
      </c>
      <c r="F835" s="967"/>
      <c r="G835" s="967"/>
      <c r="H835" s="967">
        <v>0</v>
      </c>
      <c r="I835" s="704"/>
      <c r="J835" s="704"/>
      <c r="K835" s="532"/>
      <c r="L835" s="967"/>
      <c r="M835" s="967"/>
      <c r="N835" s="968">
        <v>0</v>
      </c>
      <c r="O835" s="874"/>
      <c r="P835" s="960"/>
      <c r="Q835" s="822"/>
      <c r="R835" s="961"/>
    </row>
    <row r="836" spans="1:18" s="444" customFormat="1" ht="38.25" customHeight="1">
      <c r="A836" s="672"/>
      <c r="B836" s="673"/>
      <c r="C836" s="965"/>
      <c r="D836" s="442"/>
      <c r="E836" s="1028" t="s">
        <v>518</v>
      </c>
      <c r="F836" s="967"/>
      <c r="G836" s="967"/>
      <c r="H836" s="967">
        <v>4300</v>
      </c>
      <c r="I836" s="704"/>
      <c r="J836" s="704"/>
      <c r="K836" s="532"/>
      <c r="L836" s="967"/>
      <c r="M836" s="967"/>
      <c r="N836" s="968">
        <v>0</v>
      </c>
      <c r="O836" s="874"/>
      <c r="P836" s="960"/>
      <c r="Q836" s="822"/>
      <c r="R836" s="961"/>
    </row>
    <row r="837" spans="1:18" s="444" customFormat="1" ht="84" customHeight="1">
      <c r="A837" s="672"/>
      <c r="B837" s="673"/>
      <c r="C837" s="965"/>
      <c r="D837" s="442"/>
      <c r="E837" s="1027" t="s">
        <v>453</v>
      </c>
      <c r="F837" s="967"/>
      <c r="G837" s="967"/>
      <c r="H837" s="967">
        <v>0</v>
      </c>
      <c r="I837" s="704"/>
      <c r="J837" s="704"/>
      <c r="K837" s="532"/>
      <c r="L837" s="967"/>
      <c r="M837" s="967"/>
      <c r="N837" s="968">
        <v>0</v>
      </c>
      <c r="O837" s="874"/>
      <c r="P837" s="960"/>
      <c r="Q837" s="822"/>
      <c r="R837" s="961"/>
    </row>
    <row r="838" spans="1:18" s="444" customFormat="1" ht="54.75" customHeight="1">
      <c r="A838" s="672"/>
      <c r="B838" s="673"/>
      <c r="C838" s="965"/>
      <c r="D838" s="442"/>
      <c r="E838" s="1027" t="s">
        <v>454</v>
      </c>
      <c r="F838" s="967"/>
      <c r="G838" s="967"/>
      <c r="H838" s="967">
        <v>0</v>
      </c>
      <c r="I838" s="704"/>
      <c r="J838" s="704"/>
      <c r="K838" s="532"/>
      <c r="L838" s="967"/>
      <c r="M838" s="967"/>
      <c r="N838" s="968">
        <v>0</v>
      </c>
      <c r="O838" s="874"/>
      <c r="P838" s="960"/>
      <c r="Q838" s="822"/>
      <c r="R838" s="961"/>
    </row>
    <row r="839" spans="1:18" s="444" customFormat="1" ht="36" customHeight="1">
      <c r="A839" s="672"/>
      <c r="B839" s="673"/>
      <c r="C839" s="965"/>
      <c r="D839" s="442"/>
      <c r="E839" s="1027" t="s">
        <v>455</v>
      </c>
      <c r="F839" s="967"/>
      <c r="G839" s="967"/>
      <c r="H839" s="967">
        <v>0</v>
      </c>
      <c r="I839" s="704"/>
      <c r="J839" s="704"/>
      <c r="K839" s="532"/>
      <c r="L839" s="967"/>
      <c r="M839" s="967"/>
      <c r="N839" s="968">
        <v>1224.8399999999999</v>
      </c>
      <c r="O839" s="874"/>
      <c r="P839" s="960"/>
      <c r="Q839" s="822"/>
      <c r="R839" s="961"/>
    </row>
    <row r="840" spans="1:18" s="444" customFormat="1" ht="54.75" customHeight="1">
      <c r="A840" s="672"/>
      <c r="B840" s="673"/>
      <c r="C840" s="965"/>
      <c r="D840" s="442"/>
      <c r="E840" s="1027" t="s">
        <v>456</v>
      </c>
      <c r="F840" s="967"/>
      <c r="G840" s="967"/>
      <c r="H840" s="967">
        <v>0</v>
      </c>
      <c r="I840" s="704"/>
      <c r="J840" s="704"/>
      <c r="K840" s="532"/>
      <c r="L840" s="967"/>
      <c r="M840" s="967"/>
      <c r="N840" s="968">
        <v>0</v>
      </c>
      <c r="O840" s="874"/>
      <c r="P840" s="960"/>
      <c r="Q840" s="822"/>
      <c r="R840" s="961"/>
    </row>
    <row r="841" spans="1:18" s="444" customFormat="1" ht="36" customHeight="1">
      <c r="A841" s="672"/>
      <c r="B841" s="673"/>
      <c r="C841" s="965"/>
      <c r="D841" s="442"/>
      <c r="E841" s="1027" t="s">
        <v>457</v>
      </c>
      <c r="F841" s="967"/>
      <c r="G841" s="967"/>
      <c r="H841" s="967">
        <v>0</v>
      </c>
      <c r="I841" s="704"/>
      <c r="J841" s="704"/>
      <c r="K841" s="532"/>
      <c r="L841" s="967"/>
      <c r="M841" s="967"/>
      <c r="N841" s="968">
        <v>0</v>
      </c>
      <c r="O841" s="874"/>
      <c r="P841" s="960"/>
      <c r="Q841" s="822"/>
      <c r="R841" s="961"/>
    </row>
    <row r="842" spans="1:18" s="444" customFormat="1" ht="54.75" customHeight="1">
      <c r="A842" s="672"/>
      <c r="B842" s="673"/>
      <c r="C842" s="965"/>
      <c r="D842" s="442"/>
      <c r="E842" s="1027" t="s">
        <v>458</v>
      </c>
      <c r="F842" s="967"/>
      <c r="G842" s="967"/>
      <c r="H842" s="967">
        <v>0</v>
      </c>
      <c r="I842" s="704"/>
      <c r="J842" s="704"/>
      <c r="K842" s="532"/>
      <c r="L842" s="967"/>
      <c r="M842" s="967"/>
      <c r="N842" s="968">
        <v>0</v>
      </c>
      <c r="O842" s="874"/>
      <c r="P842" s="960"/>
      <c r="Q842" s="822"/>
      <c r="R842" s="961"/>
    </row>
    <row r="843" spans="1:18" s="444" customFormat="1" ht="36" customHeight="1">
      <c r="A843" s="672"/>
      <c r="B843" s="673"/>
      <c r="C843" s="965"/>
      <c r="D843" s="442"/>
      <c r="E843" s="1027" t="s">
        <v>459</v>
      </c>
      <c r="F843" s="970"/>
      <c r="G843" s="970"/>
      <c r="H843" s="967">
        <v>32231.32</v>
      </c>
      <c r="I843" s="704"/>
      <c r="J843" s="704"/>
      <c r="K843" s="532"/>
      <c r="L843" s="970"/>
      <c r="M843" s="970"/>
      <c r="N843" s="968">
        <v>6113.31</v>
      </c>
      <c r="O843" s="874"/>
      <c r="P843" s="960"/>
      <c r="Q843" s="822"/>
      <c r="R843" s="961"/>
    </row>
    <row r="844" spans="1:18" s="444" customFormat="1" ht="36" customHeight="1">
      <c r="A844" s="672"/>
      <c r="B844" s="673"/>
      <c r="C844" s="965"/>
      <c r="D844" s="442"/>
      <c r="E844" s="1027" t="s">
        <v>460</v>
      </c>
      <c r="F844" s="970"/>
      <c r="G844" s="970"/>
      <c r="H844" s="967">
        <v>0</v>
      </c>
      <c r="I844" s="704"/>
      <c r="J844" s="704"/>
      <c r="K844" s="532"/>
      <c r="L844" s="970"/>
      <c r="M844" s="970"/>
      <c r="N844" s="968">
        <v>2964.94</v>
      </c>
      <c r="O844" s="874"/>
      <c r="P844" s="960"/>
      <c r="Q844" s="822"/>
      <c r="R844" s="961"/>
    </row>
    <row r="845" spans="1:18" s="444" customFormat="1" ht="36" customHeight="1">
      <c r="A845" s="672"/>
      <c r="B845" s="673"/>
      <c r="C845" s="965"/>
      <c r="D845" s="442"/>
      <c r="E845" s="1027" t="s">
        <v>461</v>
      </c>
      <c r="F845" s="970"/>
      <c r="G845" s="970"/>
      <c r="H845" s="967">
        <v>692</v>
      </c>
      <c r="I845" s="704"/>
      <c r="J845" s="704"/>
      <c r="K845" s="532"/>
      <c r="L845" s="970"/>
      <c r="M845" s="970"/>
      <c r="N845" s="968">
        <v>0</v>
      </c>
      <c r="O845" s="874"/>
      <c r="P845" s="960"/>
      <c r="Q845" s="822"/>
      <c r="R845" s="961"/>
    </row>
    <row r="846" spans="1:18" s="444" customFormat="1" ht="36" customHeight="1">
      <c r="A846" s="672"/>
      <c r="B846" s="673"/>
      <c r="C846" s="965"/>
      <c r="D846" s="442"/>
      <c r="E846" s="1027" t="s">
        <v>462</v>
      </c>
      <c r="F846" s="970"/>
      <c r="G846" s="970"/>
      <c r="H846" s="967">
        <v>35817</v>
      </c>
      <c r="I846" s="704"/>
      <c r="J846" s="704"/>
      <c r="K846" s="532"/>
      <c r="L846" s="970"/>
      <c r="M846" s="970"/>
      <c r="N846" s="968">
        <v>11300</v>
      </c>
      <c r="O846" s="874"/>
      <c r="P846" s="960"/>
      <c r="Q846" s="822"/>
      <c r="R846" s="961"/>
    </row>
    <row r="847" spans="1:18" s="444" customFormat="1" ht="36" customHeight="1">
      <c r="A847" s="672"/>
      <c r="B847" s="673"/>
      <c r="C847" s="965"/>
      <c r="D847" s="442"/>
      <c r="E847" s="1027" t="s">
        <v>463</v>
      </c>
      <c r="F847" s="970"/>
      <c r="G847" s="970"/>
      <c r="H847" s="967">
        <v>0</v>
      </c>
      <c r="I847" s="704"/>
      <c r="J847" s="704"/>
      <c r="K847" s="532"/>
      <c r="L847" s="970"/>
      <c r="M847" s="970"/>
      <c r="N847" s="968">
        <v>70782.210000000006</v>
      </c>
      <c r="O847" s="874"/>
      <c r="P847" s="960"/>
      <c r="Q847" s="822"/>
      <c r="R847" s="961"/>
    </row>
    <row r="848" spans="1:18" s="444" customFormat="1" ht="61.5" customHeight="1">
      <c r="A848" s="672"/>
      <c r="B848" s="673"/>
      <c r="C848" s="965"/>
      <c r="D848" s="442"/>
      <c r="E848" s="1027" t="s">
        <v>464</v>
      </c>
      <c r="F848" s="970"/>
      <c r="G848" s="970"/>
      <c r="H848" s="967">
        <v>0</v>
      </c>
      <c r="I848" s="704"/>
      <c r="J848" s="704"/>
      <c r="K848" s="532"/>
      <c r="L848" s="970"/>
      <c r="M848" s="970"/>
      <c r="N848" s="968">
        <v>1265.8</v>
      </c>
      <c r="O848" s="874"/>
      <c r="P848" s="960"/>
      <c r="Q848" s="822"/>
      <c r="R848" s="961"/>
    </row>
    <row r="849" spans="1:18" s="444" customFormat="1" ht="36" customHeight="1">
      <c r="A849" s="672"/>
      <c r="B849" s="673"/>
      <c r="C849" s="965"/>
      <c r="D849" s="442"/>
      <c r="E849" s="1027" t="s">
        <v>465</v>
      </c>
      <c r="F849" s="970"/>
      <c r="G849" s="970"/>
      <c r="H849" s="967">
        <v>0</v>
      </c>
      <c r="I849" s="704"/>
      <c r="J849" s="704"/>
      <c r="K849" s="532"/>
      <c r="L849" s="970"/>
      <c r="M849" s="970"/>
      <c r="N849" s="968">
        <v>0</v>
      </c>
      <c r="O849" s="874"/>
      <c r="P849" s="960"/>
      <c r="Q849" s="822"/>
      <c r="R849" s="961"/>
    </row>
    <row r="850" spans="1:18" s="444" customFormat="1" ht="36" customHeight="1">
      <c r="A850" s="672"/>
      <c r="B850" s="673"/>
      <c r="C850" s="965"/>
      <c r="D850" s="442"/>
      <c r="E850" s="1027" t="s">
        <v>466</v>
      </c>
      <c r="F850" s="970"/>
      <c r="G850" s="970"/>
      <c r="H850" s="967">
        <v>0</v>
      </c>
      <c r="I850" s="704"/>
      <c r="J850" s="704"/>
      <c r="K850" s="532"/>
      <c r="L850" s="970"/>
      <c r="M850" s="970"/>
      <c r="N850" s="968">
        <v>0</v>
      </c>
      <c r="O850" s="874"/>
      <c r="P850" s="960"/>
      <c r="Q850" s="822"/>
      <c r="R850" s="961"/>
    </row>
    <row r="851" spans="1:18" s="444" customFormat="1" ht="36" customHeight="1">
      <c r="A851" s="672"/>
      <c r="B851" s="673"/>
      <c r="C851" s="965"/>
      <c r="D851" s="442"/>
      <c r="E851" s="1027" t="s">
        <v>492</v>
      </c>
      <c r="F851" s="970"/>
      <c r="G851" s="970"/>
      <c r="H851" s="967">
        <v>1674.81</v>
      </c>
      <c r="I851" s="704"/>
      <c r="J851" s="704"/>
      <c r="K851" s="532"/>
      <c r="L851" s="970"/>
      <c r="M851" s="970"/>
      <c r="N851" s="968">
        <v>80</v>
      </c>
      <c r="O851" s="874"/>
      <c r="P851" s="960"/>
      <c r="Q851" s="822"/>
      <c r="R851" s="961"/>
    </row>
    <row r="852" spans="1:18" s="444" customFormat="1" ht="57" customHeight="1">
      <c r="A852" s="672"/>
      <c r="B852" s="673"/>
      <c r="C852" s="965"/>
      <c r="D852" s="442"/>
      <c r="E852" s="1026" t="s">
        <v>467</v>
      </c>
      <c r="F852" s="955">
        <v>117300</v>
      </c>
      <c r="G852" s="955">
        <v>111778</v>
      </c>
      <c r="H852" s="955">
        <v>74715.13</v>
      </c>
      <c r="I852" s="704"/>
      <c r="J852" s="704"/>
      <c r="K852" s="532"/>
      <c r="L852" s="955">
        <v>0</v>
      </c>
      <c r="M852" s="955">
        <v>0</v>
      </c>
      <c r="N852" s="955">
        <v>0</v>
      </c>
      <c r="O852" s="932">
        <v>0</v>
      </c>
      <c r="P852" s="960" t="s">
        <v>286</v>
      </c>
      <c r="Q852" s="822"/>
      <c r="R852" s="961"/>
    </row>
    <row r="853" spans="1:18" s="198" customFormat="1" ht="39.9" customHeight="1">
      <c r="A853" s="492"/>
      <c r="B853" s="178"/>
      <c r="C853" s="195" t="s">
        <v>53</v>
      </c>
      <c r="D853" s="194"/>
      <c r="E853" s="193" t="s">
        <v>52</v>
      </c>
      <c r="F853" s="192"/>
      <c r="G853" s="192"/>
      <c r="H853" s="192"/>
      <c r="I853" s="192"/>
      <c r="J853" s="192"/>
      <c r="K853" s="192">
        <f>K854+K897+K940+K983</f>
        <v>1677000</v>
      </c>
      <c r="L853" s="436">
        <f>SUM(F853:K853)</f>
        <v>1677000</v>
      </c>
      <c r="M853" s="436">
        <f>M854+M897+M940+M983</f>
        <v>1626407</v>
      </c>
      <c r="N853" s="436">
        <f>N854+N897+N940+N983</f>
        <v>561254.71</v>
      </c>
      <c r="O853" s="908">
        <f>N853/M853</f>
        <v>0.3450887201051151</v>
      </c>
      <c r="P853" s="777" t="s">
        <v>286</v>
      </c>
    </row>
    <row r="854" spans="1:18" s="188" customFormat="1" ht="45" customHeight="1">
      <c r="A854" s="492"/>
      <c r="B854" s="178"/>
      <c r="C854" s="461">
        <v>1</v>
      </c>
      <c r="D854" s="448"/>
      <c r="E854" s="547" t="s">
        <v>51</v>
      </c>
      <c r="F854" s="548"/>
      <c r="G854" s="432"/>
      <c r="H854" s="432"/>
      <c r="I854" s="432"/>
      <c r="J854" s="425"/>
      <c r="K854" s="432">
        <f>191000+4000+4303+100000+7897+800</f>
        <v>308000</v>
      </c>
      <c r="L854" s="432">
        <f>L855+L874+L896</f>
        <v>308000</v>
      </c>
      <c r="M854" s="432">
        <f t="shared" ref="M854:N854" si="131">M855+M874+M896</f>
        <v>308000</v>
      </c>
      <c r="N854" s="432">
        <f t="shared" si="131"/>
        <v>111010.24000000001</v>
      </c>
      <c r="O854" s="914">
        <f>N854/M854</f>
        <v>0.36042285714285716</v>
      </c>
      <c r="P854" s="778" t="s">
        <v>286</v>
      </c>
    </row>
    <row r="855" spans="1:18" s="435" customFormat="1" ht="39.9" customHeight="1">
      <c r="A855" s="705"/>
      <c r="B855" s="949"/>
      <c r="C855" s="463"/>
      <c r="D855" s="448"/>
      <c r="E855" s="950" t="s">
        <v>435</v>
      </c>
      <c r="F855" s="951"/>
      <c r="G855" s="952"/>
      <c r="H855" s="952"/>
      <c r="I855" s="952"/>
      <c r="J855" s="953"/>
      <c r="K855" s="954"/>
      <c r="L855" s="955">
        <v>191000</v>
      </c>
      <c r="M855" s="955">
        <v>189877</v>
      </c>
      <c r="N855" s="956">
        <f>SUM(N857:N873)</f>
        <v>86329.44</v>
      </c>
      <c r="O855" s="932">
        <f>N855/M855</f>
        <v>0.4546598060849919</v>
      </c>
      <c r="P855" s="957" t="s">
        <v>286</v>
      </c>
      <c r="Q855" s="823"/>
      <c r="R855" s="958"/>
    </row>
    <row r="856" spans="1:18" s="444" customFormat="1" ht="34.5" customHeight="1">
      <c r="A856" s="672"/>
      <c r="B856" s="673"/>
      <c r="C856" s="454"/>
      <c r="D856" s="442"/>
      <c r="E856" s="959" t="s">
        <v>16</v>
      </c>
      <c r="F856" s="703"/>
      <c r="G856" s="704"/>
      <c r="H856" s="704"/>
      <c r="I856" s="704"/>
      <c r="J856" s="704"/>
      <c r="K856" s="389"/>
      <c r="L856" s="666"/>
      <c r="M856" s="666"/>
      <c r="N856" s="666"/>
      <c r="O856" s="874"/>
      <c r="P856" s="960"/>
      <c r="Q856" s="822"/>
      <c r="R856" s="961"/>
    </row>
    <row r="857" spans="1:18" s="444" customFormat="1" ht="36" customHeight="1">
      <c r="A857" s="672"/>
      <c r="B857" s="673"/>
      <c r="C857" s="454"/>
      <c r="D857" s="429"/>
      <c r="E857" s="962" t="s">
        <v>476</v>
      </c>
      <c r="F857" s="703"/>
      <c r="G857" s="704"/>
      <c r="H857" s="704"/>
      <c r="I857" s="704"/>
      <c r="J857" s="704"/>
      <c r="K857" s="389"/>
      <c r="L857" s="963"/>
      <c r="M857" s="963"/>
      <c r="N857" s="964">
        <v>0</v>
      </c>
      <c r="O857" s="874"/>
      <c r="P857" s="960"/>
      <c r="Q857" s="822"/>
      <c r="R857" s="961"/>
    </row>
    <row r="858" spans="1:18" s="444" customFormat="1" ht="57" customHeight="1">
      <c r="A858" s="672"/>
      <c r="B858" s="673"/>
      <c r="C858" s="454"/>
      <c r="D858" s="442"/>
      <c r="E858" s="962" t="s">
        <v>469</v>
      </c>
      <c r="F858" s="703"/>
      <c r="G858" s="704"/>
      <c r="H858" s="704"/>
      <c r="I858" s="704"/>
      <c r="J858" s="704"/>
      <c r="K858" s="389"/>
      <c r="L858" s="963"/>
      <c r="M858" s="963"/>
      <c r="N858" s="964">
        <v>0</v>
      </c>
      <c r="O858" s="874"/>
      <c r="P858" s="960"/>
      <c r="Q858" s="822"/>
      <c r="R858" s="961"/>
    </row>
    <row r="859" spans="1:18" s="444" customFormat="1" ht="36" customHeight="1">
      <c r="A859" s="672"/>
      <c r="B859" s="673"/>
      <c r="C859" s="454"/>
      <c r="D859" s="442"/>
      <c r="E859" s="962" t="s">
        <v>477</v>
      </c>
      <c r="F859" s="703"/>
      <c r="G859" s="704"/>
      <c r="H859" s="704"/>
      <c r="I859" s="704"/>
      <c r="J859" s="704"/>
      <c r="K859" s="389"/>
      <c r="L859" s="963"/>
      <c r="M859" s="963"/>
      <c r="N859" s="964">
        <v>0</v>
      </c>
      <c r="O859" s="874"/>
      <c r="P859" s="960"/>
      <c r="Q859" s="822"/>
      <c r="R859" s="961"/>
    </row>
    <row r="860" spans="1:18" s="444" customFormat="1" ht="36" customHeight="1">
      <c r="A860" s="672"/>
      <c r="B860" s="673"/>
      <c r="C860" s="454"/>
      <c r="D860" s="442"/>
      <c r="E860" s="962" t="s">
        <v>478</v>
      </c>
      <c r="F860" s="703"/>
      <c r="G860" s="704"/>
      <c r="H860" s="704"/>
      <c r="I860" s="704"/>
      <c r="J860" s="704"/>
      <c r="K860" s="389"/>
      <c r="L860" s="963"/>
      <c r="M860" s="963"/>
      <c r="N860" s="964">
        <v>0</v>
      </c>
      <c r="O860" s="874"/>
      <c r="P860" s="960"/>
      <c r="Q860" s="822"/>
      <c r="R860" s="961"/>
    </row>
    <row r="861" spans="1:18" s="444" customFormat="1" ht="36" customHeight="1">
      <c r="A861" s="672"/>
      <c r="B861" s="673"/>
      <c r="C861" s="454"/>
      <c r="D861" s="442"/>
      <c r="E861" s="962" t="s">
        <v>479</v>
      </c>
      <c r="F861" s="703"/>
      <c r="G861" s="704"/>
      <c r="H861" s="704"/>
      <c r="I861" s="704"/>
      <c r="J861" s="704"/>
      <c r="K861" s="389"/>
      <c r="L861" s="963"/>
      <c r="M861" s="963"/>
      <c r="N861" s="964">
        <v>0</v>
      </c>
      <c r="O861" s="874"/>
      <c r="P861" s="960"/>
      <c r="Q861" s="822"/>
      <c r="R861" s="961"/>
    </row>
    <row r="862" spans="1:18" s="444" customFormat="1" ht="36" customHeight="1">
      <c r="A862" s="672"/>
      <c r="B862" s="673"/>
      <c r="C862" s="454"/>
      <c r="D862" s="442"/>
      <c r="E862" s="962" t="s">
        <v>437</v>
      </c>
      <c r="F862" s="703"/>
      <c r="G862" s="704"/>
      <c r="H862" s="704"/>
      <c r="I862" s="704"/>
      <c r="J862" s="704"/>
      <c r="K862" s="389"/>
      <c r="L862" s="963"/>
      <c r="M862" s="963"/>
      <c r="N862" s="964">
        <v>0</v>
      </c>
      <c r="O862" s="874"/>
      <c r="P862" s="960"/>
      <c r="Q862" s="822"/>
      <c r="R862" s="961"/>
    </row>
    <row r="863" spans="1:18" s="444" customFormat="1" ht="36" customHeight="1">
      <c r="A863" s="672"/>
      <c r="B863" s="673"/>
      <c r="C863" s="454"/>
      <c r="D863" s="442"/>
      <c r="E863" s="962" t="s">
        <v>438</v>
      </c>
      <c r="F863" s="703"/>
      <c r="G863" s="704"/>
      <c r="H863" s="704"/>
      <c r="I863" s="704"/>
      <c r="J863" s="704"/>
      <c r="K863" s="389"/>
      <c r="L863" s="963"/>
      <c r="M863" s="963"/>
      <c r="N863" s="964">
        <v>0</v>
      </c>
      <c r="O863" s="874"/>
      <c r="P863" s="960"/>
      <c r="Q863" s="822"/>
      <c r="R863" s="961"/>
    </row>
    <row r="864" spans="1:18" s="444" customFormat="1" ht="36" customHeight="1">
      <c r="A864" s="672"/>
      <c r="B864" s="673"/>
      <c r="C864" s="454"/>
      <c r="D864" s="442"/>
      <c r="E864" s="962" t="s">
        <v>480</v>
      </c>
      <c r="F864" s="703"/>
      <c r="G864" s="704"/>
      <c r="H864" s="704"/>
      <c r="I864" s="704"/>
      <c r="J864" s="704"/>
      <c r="K864" s="389"/>
      <c r="L864" s="963"/>
      <c r="M864" s="963"/>
      <c r="N864" s="964">
        <v>0</v>
      </c>
      <c r="O864" s="874"/>
      <c r="P864" s="960"/>
      <c r="Q864" s="822"/>
      <c r="R864" s="961"/>
    </row>
    <row r="865" spans="1:18" s="444" customFormat="1" ht="36" customHeight="1">
      <c r="A865" s="672"/>
      <c r="B865" s="673"/>
      <c r="C865" s="454"/>
      <c r="D865" s="442"/>
      <c r="E865" s="962" t="s">
        <v>439</v>
      </c>
      <c r="F865" s="703"/>
      <c r="G865" s="704"/>
      <c r="H865" s="704"/>
      <c r="I865" s="704"/>
      <c r="J865" s="704"/>
      <c r="K865" s="389"/>
      <c r="L865" s="963"/>
      <c r="M865" s="963"/>
      <c r="N865" s="964">
        <v>0</v>
      </c>
      <c r="O865" s="874"/>
      <c r="P865" s="960"/>
      <c r="Q865" s="822"/>
      <c r="R865" s="961"/>
    </row>
    <row r="866" spans="1:18" s="444" customFormat="1" ht="36" customHeight="1">
      <c r="A866" s="672"/>
      <c r="B866" s="673"/>
      <c r="C866" s="454"/>
      <c r="D866" s="442"/>
      <c r="E866" s="962" t="s">
        <v>440</v>
      </c>
      <c r="F866" s="703"/>
      <c r="G866" s="704"/>
      <c r="H866" s="704"/>
      <c r="I866" s="704"/>
      <c r="J866" s="704"/>
      <c r="K866" s="389"/>
      <c r="L866" s="963"/>
      <c r="M866" s="963"/>
      <c r="N866" s="964">
        <v>0</v>
      </c>
      <c r="O866" s="874"/>
      <c r="P866" s="960"/>
      <c r="Q866" s="822"/>
      <c r="R866" s="961"/>
    </row>
    <row r="867" spans="1:18" s="444" customFormat="1" ht="36" customHeight="1">
      <c r="A867" s="672"/>
      <c r="B867" s="673"/>
      <c r="C867" s="454"/>
      <c r="D867" s="442"/>
      <c r="E867" s="962" t="s">
        <v>441</v>
      </c>
      <c r="F867" s="703"/>
      <c r="G867" s="704"/>
      <c r="H867" s="704"/>
      <c r="I867" s="704"/>
      <c r="J867" s="704"/>
      <c r="K867" s="389"/>
      <c r="L867" s="963"/>
      <c r="M867" s="963"/>
      <c r="N867" s="964">
        <v>0</v>
      </c>
      <c r="O867" s="874"/>
      <c r="P867" s="960"/>
      <c r="Q867" s="822"/>
      <c r="R867" s="961"/>
    </row>
    <row r="868" spans="1:18" s="444" customFormat="1" ht="57" customHeight="1">
      <c r="A868" s="672"/>
      <c r="B868" s="673"/>
      <c r="C868" s="454"/>
      <c r="D868" s="442"/>
      <c r="E868" s="962" t="s">
        <v>481</v>
      </c>
      <c r="F868" s="703"/>
      <c r="G868" s="704"/>
      <c r="H868" s="704"/>
      <c r="I868" s="704"/>
      <c r="J868" s="704"/>
      <c r="K868" s="389"/>
      <c r="L868" s="963"/>
      <c r="M868" s="963"/>
      <c r="N868" s="964">
        <v>64271.98</v>
      </c>
      <c r="O868" s="874"/>
      <c r="P868" s="960"/>
      <c r="Q868" s="822"/>
      <c r="R868" s="961"/>
    </row>
    <row r="869" spans="1:18" s="444" customFormat="1" ht="36" customHeight="1">
      <c r="A869" s="672"/>
      <c r="B869" s="673"/>
      <c r="C869" s="454"/>
      <c r="D869" s="442"/>
      <c r="E869" s="962" t="s">
        <v>442</v>
      </c>
      <c r="F869" s="703"/>
      <c r="G869" s="704"/>
      <c r="H869" s="704"/>
      <c r="I869" s="704"/>
      <c r="J869" s="704"/>
      <c r="K869" s="389"/>
      <c r="L869" s="963"/>
      <c r="M869" s="963"/>
      <c r="N869" s="964">
        <v>0</v>
      </c>
      <c r="O869" s="874"/>
      <c r="P869" s="960"/>
      <c r="Q869" s="822"/>
      <c r="R869" s="961"/>
    </row>
    <row r="870" spans="1:18" s="444" customFormat="1" ht="36" customHeight="1">
      <c r="A870" s="672"/>
      <c r="B870" s="673"/>
      <c r="C870" s="454"/>
      <c r="D870" s="442"/>
      <c r="E870" s="962" t="s">
        <v>443</v>
      </c>
      <c r="F870" s="703"/>
      <c r="G870" s="704"/>
      <c r="H870" s="704"/>
      <c r="I870" s="704"/>
      <c r="J870" s="704"/>
      <c r="K870" s="389"/>
      <c r="L870" s="963"/>
      <c r="M870" s="963"/>
      <c r="N870" s="964">
        <v>9875.65</v>
      </c>
      <c r="O870" s="874"/>
      <c r="P870" s="960"/>
      <c r="Q870" s="822"/>
      <c r="R870" s="961"/>
    </row>
    <row r="871" spans="1:18" s="444" customFormat="1" ht="36" customHeight="1">
      <c r="A871" s="672"/>
      <c r="B871" s="673"/>
      <c r="C871" s="454"/>
      <c r="D871" s="442"/>
      <c r="E871" s="962" t="s">
        <v>482</v>
      </c>
      <c r="F871" s="703"/>
      <c r="G871" s="704"/>
      <c r="H871" s="704"/>
      <c r="I871" s="704"/>
      <c r="J871" s="704"/>
      <c r="K871" s="389"/>
      <c r="L871" s="963"/>
      <c r="M871" s="963"/>
      <c r="N871" s="964">
        <v>0</v>
      </c>
      <c r="O871" s="874"/>
      <c r="P871" s="960"/>
      <c r="Q871" s="822"/>
      <c r="R871" s="961"/>
    </row>
    <row r="872" spans="1:18" s="444" customFormat="1" ht="36" customHeight="1">
      <c r="A872" s="672"/>
      <c r="B872" s="673"/>
      <c r="C872" s="454"/>
      <c r="D872" s="442"/>
      <c r="E872" s="962" t="s">
        <v>485</v>
      </c>
      <c r="F872" s="703"/>
      <c r="G872" s="704"/>
      <c r="H872" s="704"/>
      <c r="I872" s="704"/>
      <c r="J872" s="704"/>
      <c r="K872" s="389"/>
      <c r="L872" s="963"/>
      <c r="M872" s="963"/>
      <c r="N872" s="964">
        <v>0</v>
      </c>
      <c r="O872" s="874"/>
      <c r="P872" s="960"/>
      <c r="Q872" s="822"/>
      <c r="R872" s="961"/>
    </row>
    <row r="873" spans="1:18" s="444" customFormat="1" ht="36" customHeight="1">
      <c r="A873" s="672"/>
      <c r="B873" s="673"/>
      <c r="C873" s="454"/>
      <c r="D873" s="442"/>
      <c r="E873" s="962" t="s">
        <v>445</v>
      </c>
      <c r="F873" s="703"/>
      <c r="G873" s="704"/>
      <c r="H873" s="704"/>
      <c r="I873" s="704"/>
      <c r="J873" s="704"/>
      <c r="K873" s="389"/>
      <c r="L873" s="963"/>
      <c r="M873" s="963"/>
      <c r="N873" s="964">
        <v>12181.81</v>
      </c>
      <c r="O873" s="874"/>
      <c r="P873" s="960"/>
      <c r="Q873" s="822"/>
      <c r="R873" s="961"/>
    </row>
    <row r="874" spans="1:18" s="444" customFormat="1" ht="57" customHeight="1">
      <c r="A874" s="672"/>
      <c r="B874" s="673"/>
      <c r="C874" s="965"/>
      <c r="D874" s="442"/>
      <c r="E874" s="950" t="s">
        <v>446</v>
      </c>
      <c r="F874" s="955">
        <v>117300</v>
      </c>
      <c r="G874" s="955">
        <v>111778</v>
      </c>
      <c r="H874" s="955">
        <v>74715.13</v>
      </c>
      <c r="I874" s="704"/>
      <c r="J874" s="704"/>
      <c r="K874" s="532"/>
      <c r="L874" s="955">
        <v>117000</v>
      </c>
      <c r="M874" s="955">
        <v>118123</v>
      </c>
      <c r="N874" s="956">
        <f>SUM(N875:N895)</f>
        <v>24680.799999999999</v>
      </c>
      <c r="O874" s="932">
        <f>N874/M874</f>
        <v>0.20894152705230987</v>
      </c>
      <c r="P874" s="960" t="s">
        <v>286</v>
      </c>
      <c r="Q874" s="822" t="s">
        <v>286</v>
      </c>
      <c r="R874" s="961"/>
    </row>
    <row r="875" spans="1:18" s="444" customFormat="1" ht="70.2" customHeight="1">
      <c r="A875" s="672"/>
      <c r="B875" s="673"/>
      <c r="C875" s="965"/>
      <c r="D875" s="442"/>
      <c r="E875" s="966" t="s">
        <v>447</v>
      </c>
      <c r="F875" s="967"/>
      <c r="G875" s="967"/>
      <c r="H875" s="967">
        <v>0</v>
      </c>
      <c r="I875" s="704"/>
      <c r="J875" s="704"/>
      <c r="K875" s="532"/>
      <c r="L875" s="967"/>
      <c r="M875" s="967"/>
      <c r="N875" s="968">
        <v>0</v>
      </c>
      <c r="O875" s="874"/>
      <c r="P875" s="960"/>
      <c r="Q875" s="822"/>
      <c r="R875" s="961"/>
    </row>
    <row r="876" spans="1:18" s="444" customFormat="1" ht="36" customHeight="1">
      <c r="A876" s="672"/>
      <c r="B876" s="673"/>
      <c r="C876" s="965"/>
      <c r="D876" s="442"/>
      <c r="E876" s="966" t="s">
        <v>448</v>
      </c>
      <c r="F876" s="967"/>
      <c r="G876" s="967"/>
      <c r="H876" s="967">
        <v>0</v>
      </c>
      <c r="I876" s="704"/>
      <c r="J876" s="704"/>
      <c r="K876" s="532"/>
      <c r="L876" s="967"/>
      <c r="M876" s="967"/>
      <c r="N876" s="968">
        <v>0</v>
      </c>
      <c r="O876" s="874"/>
      <c r="P876" s="960"/>
      <c r="Q876" s="822"/>
      <c r="R876" s="961"/>
    </row>
    <row r="877" spans="1:18" s="444" customFormat="1" ht="36" customHeight="1">
      <c r="A877" s="672"/>
      <c r="B877" s="673"/>
      <c r="C877" s="965"/>
      <c r="D877" s="442"/>
      <c r="E877" s="966" t="s">
        <v>449</v>
      </c>
      <c r="F877" s="967"/>
      <c r="G877" s="967"/>
      <c r="H877" s="967">
        <v>0</v>
      </c>
      <c r="I877" s="704"/>
      <c r="J877" s="704"/>
      <c r="K877" s="532"/>
      <c r="L877" s="967"/>
      <c r="M877" s="967"/>
      <c r="N877" s="968">
        <v>0</v>
      </c>
      <c r="O877" s="874"/>
      <c r="P877" s="960"/>
      <c r="Q877" s="822"/>
      <c r="R877" s="961"/>
    </row>
    <row r="878" spans="1:18" s="444" customFormat="1" ht="36" customHeight="1">
      <c r="A878" s="672"/>
      <c r="B878" s="673"/>
      <c r="C878" s="965"/>
      <c r="D878" s="442"/>
      <c r="E878" s="966" t="s">
        <v>450</v>
      </c>
      <c r="F878" s="967"/>
      <c r="G878" s="967"/>
      <c r="H878" s="967">
        <v>0</v>
      </c>
      <c r="I878" s="704"/>
      <c r="J878" s="704"/>
      <c r="K878" s="532"/>
      <c r="L878" s="967"/>
      <c r="M878" s="967"/>
      <c r="N878" s="968">
        <v>0</v>
      </c>
      <c r="O878" s="874"/>
      <c r="P878" s="960"/>
      <c r="Q878" s="822"/>
      <c r="R878" s="961"/>
    </row>
    <row r="879" spans="1:18" s="444" customFormat="1" ht="36" customHeight="1">
      <c r="A879" s="672"/>
      <c r="B879" s="673"/>
      <c r="C879" s="965"/>
      <c r="D879" s="442"/>
      <c r="E879" s="966" t="s">
        <v>451</v>
      </c>
      <c r="F879" s="967"/>
      <c r="G879" s="967"/>
      <c r="H879" s="967">
        <v>0</v>
      </c>
      <c r="I879" s="704"/>
      <c r="J879" s="704"/>
      <c r="K879" s="532"/>
      <c r="L879" s="967"/>
      <c r="M879" s="967"/>
      <c r="N879" s="968">
        <v>0</v>
      </c>
      <c r="O879" s="874"/>
      <c r="P879" s="960"/>
      <c r="Q879" s="822"/>
      <c r="R879" s="961"/>
    </row>
    <row r="880" spans="1:18" s="444" customFormat="1" ht="36" customHeight="1">
      <c r="A880" s="672"/>
      <c r="B880" s="673"/>
      <c r="C880" s="965"/>
      <c r="D880" s="442"/>
      <c r="E880" s="969" t="s">
        <v>483</v>
      </c>
      <c r="F880" s="967"/>
      <c r="G880" s="967"/>
      <c r="H880" s="967">
        <v>4300</v>
      </c>
      <c r="I880" s="704"/>
      <c r="J880" s="704"/>
      <c r="K880" s="532"/>
      <c r="L880" s="967"/>
      <c r="M880" s="967"/>
      <c r="N880" s="968">
        <v>0</v>
      </c>
      <c r="O880" s="874"/>
      <c r="P880" s="960"/>
      <c r="Q880" s="822"/>
      <c r="R880" s="961"/>
    </row>
    <row r="881" spans="1:22" s="444" customFormat="1" ht="84" customHeight="1">
      <c r="A881" s="672"/>
      <c r="B881" s="673"/>
      <c r="C881" s="965"/>
      <c r="D881" s="442"/>
      <c r="E881" s="966" t="s">
        <v>453</v>
      </c>
      <c r="F881" s="967"/>
      <c r="G881" s="967"/>
      <c r="H881" s="967">
        <v>0</v>
      </c>
      <c r="I881" s="704"/>
      <c r="J881" s="704"/>
      <c r="K881" s="532"/>
      <c r="L881" s="967"/>
      <c r="M881" s="967"/>
      <c r="N881" s="968">
        <v>0</v>
      </c>
      <c r="O881" s="874"/>
      <c r="P881" s="960"/>
      <c r="Q881" s="822"/>
      <c r="R881" s="961"/>
    </row>
    <row r="882" spans="1:22" s="444" customFormat="1" ht="59.25" customHeight="1">
      <c r="A882" s="672"/>
      <c r="B882" s="673"/>
      <c r="C882" s="965"/>
      <c r="D882" s="442"/>
      <c r="E882" s="966" t="s">
        <v>454</v>
      </c>
      <c r="F882" s="967"/>
      <c r="G882" s="967"/>
      <c r="H882" s="967">
        <v>0</v>
      </c>
      <c r="I882" s="704"/>
      <c r="J882" s="704"/>
      <c r="K882" s="532"/>
      <c r="L882" s="967"/>
      <c r="M882" s="967"/>
      <c r="N882" s="968">
        <v>0</v>
      </c>
      <c r="O882" s="874"/>
      <c r="P882" s="960"/>
      <c r="Q882" s="822"/>
      <c r="R882" s="961"/>
    </row>
    <row r="883" spans="1:22" s="444" customFormat="1" ht="36" customHeight="1">
      <c r="A883" s="672"/>
      <c r="B883" s="673"/>
      <c r="C883" s="965"/>
      <c r="D883" s="442"/>
      <c r="E883" s="966" t="s">
        <v>484</v>
      </c>
      <c r="F883" s="967"/>
      <c r="G883" s="967"/>
      <c r="H883" s="967">
        <v>0</v>
      </c>
      <c r="I883" s="704"/>
      <c r="J883" s="704"/>
      <c r="K883" s="532"/>
      <c r="L883" s="967"/>
      <c r="M883" s="967"/>
      <c r="N883" s="968">
        <v>59.8</v>
      </c>
      <c r="O883" s="874"/>
      <c r="P883" s="960"/>
      <c r="Q883" s="822"/>
      <c r="R883" s="961"/>
    </row>
    <row r="884" spans="1:22" s="444" customFormat="1" ht="58.5" customHeight="1">
      <c r="A884" s="672"/>
      <c r="B884" s="673"/>
      <c r="C884" s="965"/>
      <c r="D884" s="442"/>
      <c r="E884" s="966" t="s">
        <v>456</v>
      </c>
      <c r="F884" s="967"/>
      <c r="G884" s="967"/>
      <c r="H884" s="967">
        <v>0</v>
      </c>
      <c r="I884" s="704"/>
      <c r="J884" s="704"/>
      <c r="K884" s="532"/>
      <c r="L884" s="967"/>
      <c r="M884" s="967"/>
      <c r="N884" s="968">
        <v>0</v>
      </c>
      <c r="O884" s="874"/>
      <c r="P884" s="960"/>
      <c r="Q884" s="822"/>
      <c r="R884" s="961"/>
    </row>
    <row r="885" spans="1:22" s="444" customFormat="1" ht="36" customHeight="1">
      <c r="A885" s="672"/>
      <c r="B885" s="673"/>
      <c r="C885" s="965"/>
      <c r="D885" s="442"/>
      <c r="E885" s="966" t="s">
        <v>457</v>
      </c>
      <c r="F885" s="967"/>
      <c r="G885" s="967"/>
      <c r="H885" s="967">
        <v>0</v>
      </c>
      <c r="I885" s="704"/>
      <c r="J885" s="704"/>
      <c r="K885" s="532"/>
      <c r="L885" s="967"/>
      <c r="M885" s="967"/>
      <c r="N885" s="968">
        <v>0</v>
      </c>
      <c r="O885" s="874"/>
      <c r="P885" s="960"/>
      <c r="Q885" s="822"/>
      <c r="R885" s="961"/>
    </row>
    <row r="886" spans="1:22" s="444" customFormat="1" ht="54.75" customHeight="1">
      <c r="A886" s="672"/>
      <c r="B886" s="673"/>
      <c r="C886" s="965"/>
      <c r="D886" s="442"/>
      <c r="E886" s="966" t="s">
        <v>458</v>
      </c>
      <c r="F886" s="967"/>
      <c r="G886" s="967"/>
      <c r="H886" s="967">
        <v>0</v>
      </c>
      <c r="I886" s="704"/>
      <c r="J886" s="704"/>
      <c r="K886" s="532"/>
      <c r="L886" s="967"/>
      <c r="M886" s="967"/>
      <c r="N886" s="968">
        <v>0</v>
      </c>
      <c r="O886" s="874"/>
      <c r="P886" s="960"/>
      <c r="Q886" s="822"/>
      <c r="R886" s="961"/>
    </row>
    <row r="887" spans="1:22" s="444" customFormat="1" ht="36" customHeight="1">
      <c r="A887" s="672"/>
      <c r="B887" s="673"/>
      <c r="C887" s="965"/>
      <c r="D887" s="442"/>
      <c r="E887" s="966" t="s">
        <v>459</v>
      </c>
      <c r="F887" s="970"/>
      <c r="G887" s="970"/>
      <c r="H887" s="967">
        <v>32231.32</v>
      </c>
      <c r="I887" s="704"/>
      <c r="J887" s="704"/>
      <c r="K887" s="532"/>
      <c r="L887" s="970"/>
      <c r="M887" s="970"/>
      <c r="N887" s="968">
        <v>1178.5899999999999</v>
      </c>
      <c r="O887" s="874"/>
      <c r="P887" s="960"/>
      <c r="Q887" s="822"/>
      <c r="R887" s="961"/>
    </row>
    <row r="888" spans="1:22" s="444" customFormat="1" ht="36" customHeight="1">
      <c r="A888" s="672"/>
      <c r="B888" s="673"/>
      <c r="C888" s="965"/>
      <c r="D888" s="442"/>
      <c r="E888" s="966" t="s">
        <v>460</v>
      </c>
      <c r="F888" s="970"/>
      <c r="G888" s="970"/>
      <c r="H888" s="967">
        <v>0</v>
      </c>
      <c r="I888" s="704"/>
      <c r="J888" s="704"/>
      <c r="K888" s="532"/>
      <c r="L888" s="970"/>
      <c r="M888" s="970"/>
      <c r="N888" s="968">
        <v>0</v>
      </c>
      <c r="O888" s="874"/>
      <c r="P888" s="960"/>
      <c r="Q888" s="822"/>
      <c r="R888" s="961"/>
    </row>
    <row r="889" spans="1:22" s="444" customFormat="1" ht="36" customHeight="1">
      <c r="A889" s="672"/>
      <c r="B889" s="673"/>
      <c r="C889" s="965"/>
      <c r="D889" s="442"/>
      <c r="E889" s="966" t="s">
        <v>461</v>
      </c>
      <c r="F889" s="970"/>
      <c r="G889" s="970"/>
      <c r="H889" s="967">
        <v>692</v>
      </c>
      <c r="I889" s="704"/>
      <c r="J889" s="704"/>
      <c r="K889" s="532"/>
      <c r="L889" s="970"/>
      <c r="M889" s="970"/>
      <c r="N889" s="968">
        <v>0</v>
      </c>
      <c r="O889" s="874"/>
      <c r="P889" s="960"/>
      <c r="Q889" s="822"/>
      <c r="R889" s="961"/>
    </row>
    <row r="890" spans="1:22" s="444" customFormat="1" ht="36" customHeight="1">
      <c r="A890" s="672"/>
      <c r="B890" s="673"/>
      <c r="C890" s="965"/>
      <c r="D890" s="442"/>
      <c r="E890" s="966" t="s">
        <v>462</v>
      </c>
      <c r="F890" s="970"/>
      <c r="G890" s="970"/>
      <c r="H890" s="967">
        <v>35817</v>
      </c>
      <c r="I890" s="704"/>
      <c r="J890" s="704"/>
      <c r="K890" s="532"/>
      <c r="L890" s="970"/>
      <c r="M890" s="970"/>
      <c r="N890" s="968">
        <v>4070</v>
      </c>
      <c r="O890" s="874"/>
      <c r="P890" s="960"/>
      <c r="Q890" s="822"/>
      <c r="R890" s="961"/>
    </row>
    <row r="891" spans="1:22" s="444" customFormat="1" ht="36" customHeight="1">
      <c r="A891" s="672"/>
      <c r="B891" s="673"/>
      <c r="C891" s="965"/>
      <c r="D891" s="442"/>
      <c r="E891" s="966" t="s">
        <v>463</v>
      </c>
      <c r="F891" s="970"/>
      <c r="G891" s="970"/>
      <c r="H891" s="967">
        <v>0</v>
      </c>
      <c r="I891" s="704"/>
      <c r="J891" s="704"/>
      <c r="K891" s="532"/>
      <c r="L891" s="970"/>
      <c r="M891" s="970"/>
      <c r="N891" s="968">
        <v>17478.98</v>
      </c>
      <c r="O891" s="874"/>
      <c r="P891" s="960"/>
      <c r="Q891" s="822"/>
      <c r="R891" s="961"/>
    </row>
    <row r="892" spans="1:22" s="444" customFormat="1" ht="36" customHeight="1">
      <c r="A892" s="672"/>
      <c r="B892" s="673"/>
      <c r="C892" s="965"/>
      <c r="D892" s="442"/>
      <c r="E892" s="966" t="s">
        <v>464</v>
      </c>
      <c r="F892" s="970"/>
      <c r="G892" s="970"/>
      <c r="H892" s="967">
        <v>0</v>
      </c>
      <c r="I892" s="704"/>
      <c r="J892" s="704"/>
      <c r="K892" s="532"/>
      <c r="L892" s="970"/>
      <c r="M892" s="970"/>
      <c r="N892" s="968">
        <v>1868.43</v>
      </c>
      <c r="O892" s="874"/>
      <c r="P892" s="960"/>
      <c r="Q892" s="822"/>
      <c r="R892" s="961"/>
    </row>
    <row r="893" spans="1:22" s="444" customFormat="1" ht="36" customHeight="1">
      <c r="A893" s="672"/>
      <c r="B893" s="673"/>
      <c r="C893" s="965"/>
      <c r="D893" s="442"/>
      <c r="E893" s="966" t="s">
        <v>465</v>
      </c>
      <c r="F893" s="970"/>
      <c r="G893" s="970"/>
      <c r="H893" s="967">
        <v>0</v>
      </c>
      <c r="I893" s="704"/>
      <c r="J893" s="704"/>
      <c r="K893" s="532"/>
      <c r="L893" s="970"/>
      <c r="M893" s="970"/>
      <c r="N893" s="968">
        <v>0</v>
      </c>
      <c r="O893" s="874"/>
      <c r="P893" s="960"/>
      <c r="Q893" s="822"/>
      <c r="R893" s="961"/>
      <c r="V893" s="444" t="s">
        <v>508</v>
      </c>
    </row>
    <row r="894" spans="1:22" s="444" customFormat="1" ht="36" customHeight="1">
      <c r="A894" s="672"/>
      <c r="B894" s="673"/>
      <c r="C894" s="965"/>
      <c r="D894" s="442"/>
      <c r="E894" s="966" t="s">
        <v>466</v>
      </c>
      <c r="F894" s="970"/>
      <c r="G894" s="970"/>
      <c r="H894" s="967">
        <v>0</v>
      </c>
      <c r="I894" s="704"/>
      <c r="J894" s="704"/>
      <c r="K894" s="532"/>
      <c r="L894" s="970"/>
      <c r="M894" s="970"/>
      <c r="N894" s="968">
        <v>0</v>
      </c>
      <c r="O894" s="874"/>
      <c r="P894" s="960"/>
      <c r="Q894" s="822"/>
      <c r="R894" s="961"/>
    </row>
    <row r="895" spans="1:22" s="444" customFormat="1" ht="36" customHeight="1">
      <c r="A895" s="672"/>
      <c r="B895" s="673"/>
      <c r="C895" s="965"/>
      <c r="D895" s="442"/>
      <c r="E895" s="966" t="s">
        <v>486</v>
      </c>
      <c r="F895" s="970"/>
      <c r="G895" s="970"/>
      <c r="H895" s="967">
        <v>1674.81</v>
      </c>
      <c r="I895" s="704"/>
      <c r="J895" s="704"/>
      <c r="K895" s="532"/>
      <c r="L895" s="970"/>
      <c r="M895" s="970"/>
      <c r="N895" s="968">
        <v>25</v>
      </c>
      <c r="O895" s="874"/>
      <c r="P895" s="960"/>
      <c r="Q895" s="822"/>
      <c r="R895" s="961"/>
    </row>
    <row r="896" spans="1:22" s="444" customFormat="1" ht="57" customHeight="1">
      <c r="A896" s="672"/>
      <c r="B896" s="673"/>
      <c r="C896" s="965"/>
      <c r="D896" s="442"/>
      <c r="E896" s="950" t="s">
        <v>467</v>
      </c>
      <c r="F896" s="955">
        <v>117300</v>
      </c>
      <c r="G896" s="955">
        <v>111778</v>
      </c>
      <c r="H896" s="955">
        <v>74715.13</v>
      </c>
      <c r="I896" s="704"/>
      <c r="J896" s="704"/>
      <c r="K896" s="532"/>
      <c r="L896" s="955">
        <v>0</v>
      </c>
      <c r="M896" s="955">
        <v>0</v>
      </c>
      <c r="N896" s="956">
        <v>0</v>
      </c>
      <c r="O896" s="932">
        <v>0</v>
      </c>
      <c r="P896" s="960" t="s">
        <v>286</v>
      </c>
      <c r="Q896" s="822"/>
      <c r="R896" s="961"/>
    </row>
    <row r="897" spans="1:18" s="272" customFormat="1" ht="45" customHeight="1">
      <c r="A897" s="492"/>
      <c r="B897" s="178"/>
      <c r="C897" s="203">
        <v>2</v>
      </c>
      <c r="D897" s="468"/>
      <c r="E897" s="271" t="s">
        <v>50</v>
      </c>
      <c r="F897" s="528"/>
      <c r="G897" s="457"/>
      <c r="H897" s="457"/>
      <c r="I897" s="457"/>
      <c r="J897" s="460"/>
      <c r="K897" s="457">
        <f>239000+8000+61338+250000+4862+800</f>
        <v>564000</v>
      </c>
      <c r="L897" s="457">
        <f>L898+L917+L939</f>
        <v>564000</v>
      </c>
      <c r="M897" s="457">
        <f t="shared" ref="M897:N897" si="132">M898+M917+M939</f>
        <v>511523</v>
      </c>
      <c r="N897" s="457">
        <f t="shared" si="132"/>
        <v>165078.82</v>
      </c>
      <c r="O897" s="877">
        <f>N897/M897</f>
        <v>0.32272022958889435</v>
      </c>
      <c r="P897" s="781" t="s">
        <v>286</v>
      </c>
    </row>
    <row r="898" spans="1:18" s="435" customFormat="1" ht="39.9" customHeight="1">
      <c r="A898" s="705"/>
      <c r="B898" s="949"/>
      <c r="C898" s="463"/>
      <c r="D898" s="448"/>
      <c r="E898" s="950" t="s">
        <v>435</v>
      </c>
      <c r="F898" s="951"/>
      <c r="G898" s="952"/>
      <c r="H898" s="952"/>
      <c r="I898" s="952"/>
      <c r="J898" s="953"/>
      <c r="K898" s="954"/>
      <c r="L898" s="955">
        <v>239000</v>
      </c>
      <c r="M898" s="955">
        <v>238609</v>
      </c>
      <c r="N898" s="956">
        <f>SUM(N900:N916)</f>
        <v>114121.5</v>
      </c>
      <c r="O898" s="932">
        <f>N898/M898</f>
        <v>0.47827827114652005</v>
      </c>
      <c r="P898" s="957" t="s">
        <v>286</v>
      </c>
      <c r="Q898" s="823"/>
      <c r="R898" s="958"/>
    </row>
    <row r="899" spans="1:18" s="444" customFormat="1" ht="34.5" customHeight="1">
      <c r="A899" s="672"/>
      <c r="B899" s="673"/>
      <c r="C899" s="454"/>
      <c r="D899" s="442"/>
      <c r="E899" s="959" t="s">
        <v>16</v>
      </c>
      <c r="F899" s="703"/>
      <c r="G899" s="704"/>
      <c r="H899" s="704"/>
      <c r="I899" s="704"/>
      <c r="J899" s="704"/>
      <c r="K899" s="389"/>
      <c r="L899" s="666"/>
      <c r="M899" s="666"/>
      <c r="N899" s="666"/>
      <c r="O899" s="874"/>
      <c r="P899" s="960"/>
      <c r="Q899" s="822"/>
      <c r="R899" s="961"/>
    </row>
    <row r="900" spans="1:18" s="444" customFormat="1" ht="36" customHeight="1">
      <c r="A900" s="672"/>
      <c r="B900" s="673"/>
      <c r="C900" s="454"/>
      <c r="D900" s="429"/>
      <c r="E900" s="962" t="s">
        <v>476</v>
      </c>
      <c r="F900" s="703"/>
      <c r="G900" s="704"/>
      <c r="H900" s="704"/>
      <c r="I900" s="704"/>
      <c r="J900" s="704"/>
      <c r="K900" s="389"/>
      <c r="L900" s="963"/>
      <c r="M900" s="963"/>
      <c r="N900" s="964">
        <v>0</v>
      </c>
      <c r="O900" s="874"/>
      <c r="P900" s="960"/>
      <c r="Q900" s="822"/>
      <c r="R900" s="961"/>
    </row>
    <row r="901" spans="1:18" s="444" customFormat="1" ht="57" customHeight="1">
      <c r="A901" s="672"/>
      <c r="B901" s="673"/>
      <c r="C901" s="454"/>
      <c r="D901" s="442"/>
      <c r="E901" s="962" t="s">
        <v>469</v>
      </c>
      <c r="F901" s="703"/>
      <c r="G901" s="704"/>
      <c r="H901" s="704"/>
      <c r="I901" s="704"/>
      <c r="J901" s="704"/>
      <c r="K901" s="389"/>
      <c r="L901" s="963"/>
      <c r="M901" s="963"/>
      <c r="N901" s="964">
        <v>0</v>
      </c>
      <c r="O901" s="874"/>
      <c r="P901" s="960"/>
      <c r="Q901" s="822"/>
      <c r="R901" s="961"/>
    </row>
    <row r="902" spans="1:18" s="444" customFormat="1" ht="36" customHeight="1">
      <c r="A902" s="672"/>
      <c r="B902" s="673"/>
      <c r="C902" s="454"/>
      <c r="D902" s="442"/>
      <c r="E902" s="962" t="s">
        <v>477</v>
      </c>
      <c r="F902" s="703"/>
      <c r="G902" s="704"/>
      <c r="H902" s="704"/>
      <c r="I902" s="704"/>
      <c r="J902" s="704"/>
      <c r="K902" s="389"/>
      <c r="L902" s="963"/>
      <c r="M902" s="963"/>
      <c r="N902" s="964">
        <v>0</v>
      </c>
      <c r="O902" s="874"/>
      <c r="P902" s="960"/>
      <c r="Q902" s="822"/>
      <c r="R902" s="961"/>
    </row>
    <row r="903" spans="1:18" s="444" customFormat="1" ht="36" customHeight="1">
      <c r="A903" s="672"/>
      <c r="B903" s="673"/>
      <c r="C903" s="454"/>
      <c r="D903" s="442"/>
      <c r="E903" s="962" t="s">
        <v>478</v>
      </c>
      <c r="F903" s="703"/>
      <c r="G903" s="704"/>
      <c r="H903" s="704"/>
      <c r="I903" s="704"/>
      <c r="J903" s="704"/>
      <c r="K903" s="389"/>
      <c r="L903" s="963"/>
      <c r="M903" s="963"/>
      <c r="N903" s="964">
        <v>0</v>
      </c>
      <c r="O903" s="874"/>
      <c r="P903" s="960"/>
      <c r="Q903" s="822"/>
      <c r="R903" s="961"/>
    </row>
    <row r="904" spans="1:18" s="444" customFormat="1" ht="36" customHeight="1">
      <c r="A904" s="672"/>
      <c r="B904" s="673"/>
      <c r="C904" s="454"/>
      <c r="D904" s="442"/>
      <c r="E904" s="962" t="s">
        <v>479</v>
      </c>
      <c r="F904" s="703"/>
      <c r="G904" s="704"/>
      <c r="H904" s="704"/>
      <c r="I904" s="704"/>
      <c r="J904" s="704"/>
      <c r="K904" s="389"/>
      <c r="L904" s="963"/>
      <c r="M904" s="963"/>
      <c r="N904" s="964">
        <v>0</v>
      </c>
      <c r="O904" s="874"/>
      <c r="P904" s="960"/>
      <c r="Q904" s="822"/>
      <c r="R904" s="961"/>
    </row>
    <row r="905" spans="1:18" s="444" customFormat="1" ht="36" customHeight="1">
      <c r="A905" s="672"/>
      <c r="B905" s="673"/>
      <c r="C905" s="454"/>
      <c r="D905" s="442"/>
      <c r="E905" s="962" t="s">
        <v>437</v>
      </c>
      <c r="F905" s="703"/>
      <c r="G905" s="704"/>
      <c r="H905" s="704"/>
      <c r="I905" s="704"/>
      <c r="J905" s="704"/>
      <c r="K905" s="389"/>
      <c r="L905" s="963"/>
      <c r="M905" s="963"/>
      <c r="N905" s="964">
        <v>0</v>
      </c>
      <c r="O905" s="874"/>
      <c r="P905" s="960"/>
      <c r="Q905" s="822"/>
      <c r="R905" s="961"/>
    </row>
    <row r="906" spans="1:18" s="444" customFormat="1" ht="36" customHeight="1">
      <c r="A906" s="672"/>
      <c r="B906" s="673"/>
      <c r="C906" s="454"/>
      <c r="D906" s="442"/>
      <c r="E906" s="962" t="s">
        <v>438</v>
      </c>
      <c r="F906" s="703"/>
      <c r="G906" s="704"/>
      <c r="H906" s="704"/>
      <c r="I906" s="704"/>
      <c r="J906" s="704"/>
      <c r="K906" s="389"/>
      <c r="L906" s="963"/>
      <c r="M906" s="963"/>
      <c r="N906" s="964">
        <v>0</v>
      </c>
      <c r="O906" s="874"/>
      <c r="P906" s="960"/>
      <c r="Q906" s="822"/>
      <c r="R906" s="961"/>
    </row>
    <row r="907" spans="1:18" s="444" customFormat="1" ht="36" customHeight="1">
      <c r="A907" s="672"/>
      <c r="B907" s="673"/>
      <c r="C907" s="454"/>
      <c r="D907" s="442"/>
      <c r="E907" s="962" t="s">
        <v>480</v>
      </c>
      <c r="F907" s="703"/>
      <c r="G907" s="704"/>
      <c r="H907" s="704"/>
      <c r="I907" s="704"/>
      <c r="J907" s="704"/>
      <c r="K907" s="389"/>
      <c r="L907" s="963"/>
      <c r="M907" s="963"/>
      <c r="N907" s="964">
        <v>0</v>
      </c>
      <c r="O907" s="874"/>
      <c r="P907" s="960"/>
      <c r="Q907" s="822"/>
      <c r="R907" s="961"/>
    </row>
    <row r="908" spans="1:18" s="444" customFormat="1" ht="36" customHeight="1">
      <c r="A908" s="672"/>
      <c r="B908" s="673"/>
      <c r="C908" s="454"/>
      <c r="D908" s="442"/>
      <c r="E908" s="962" t="s">
        <v>439</v>
      </c>
      <c r="F908" s="703"/>
      <c r="G908" s="704"/>
      <c r="H908" s="704"/>
      <c r="I908" s="704"/>
      <c r="J908" s="704"/>
      <c r="K908" s="389"/>
      <c r="L908" s="963"/>
      <c r="M908" s="963"/>
      <c r="N908" s="964">
        <v>0</v>
      </c>
      <c r="O908" s="874"/>
      <c r="P908" s="960"/>
      <c r="Q908" s="822"/>
      <c r="R908" s="961"/>
    </row>
    <row r="909" spans="1:18" s="444" customFormat="1" ht="36" customHeight="1">
      <c r="A909" s="672"/>
      <c r="B909" s="673"/>
      <c r="C909" s="454"/>
      <c r="D909" s="442"/>
      <c r="E909" s="962" t="s">
        <v>440</v>
      </c>
      <c r="F909" s="703"/>
      <c r="G909" s="704"/>
      <c r="H909" s="704"/>
      <c r="I909" s="704"/>
      <c r="J909" s="704"/>
      <c r="K909" s="389"/>
      <c r="L909" s="963"/>
      <c r="M909" s="963"/>
      <c r="N909" s="964">
        <v>0</v>
      </c>
      <c r="O909" s="874"/>
      <c r="P909" s="960"/>
      <c r="Q909" s="822"/>
      <c r="R909" s="961"/>
    </row>
    <row r="910" spans="1:18" s="444" customFormat="1" ht="36" customHeight="1">
      <c r="A910" s="672"/>
      <c r="B910" s="673"/>
      <c r="C910" s="454"/>
      <c r="D910" s="442"/>
      <c r="E910" s="962" t="s">
        <v>441</v>
      </c>
      <c r="F910" s="703"/>
      <c r="G910" s="704"/>
      <c r="H910" s="704"/>
      <c r="I910" s="704"/>
      <c r="J910" s="704"/>
      <c r="K910" s="389"/>
      <c r="L910" s="963"/>
      <c r="M910" s="963"/>
      <c r="N910" s="964">
        <v>0</v>
      </c>
      <c r="O910" s="874"/>
      <c r="P910" s="960"/>
      <c r="Q910" s="822"/>
      <c r="R910" s="961"/>
    </row>
    <row r="911" spans="1:18" s="444" customFormat="1" ht="57" customHeight="1">
      <c r="A911" s="672"/>
      <c r="B911" s="673"/>
      <c r="C911" s="454"/>
      <c r="D911" s="442"/>
      <c r="E911" s="962" t="s">
        <v>506</v>
      </c>
      <c r="F911" s="703"/>
      <c r="G911" s="704"/>
      <c r="H911" s="704"/>
      <c r="I911" s="704"/>
      <c r="J911" s="704"/>
      <c r="K911" s="389"/>
      <c r="L911" s="963"/>
      <c r="M911" s="963"/>
      <c r="N911" s="964">
        <v>86751.84</v>
      </c>
      <c r="O911" s="874"/>
      <c r="P911" s="960"/>
      <c r="Q911" s="822"/>
      <c r="R911" s="961"/>
    </row>
    <row r="912" spans="1:18" s="444" customFormat="1" ht="36" customHeight="1">
      <c r="A912" s="672"/>
      <c r="B912" s="673"/>
      <c r="C912" s="454"/>
      <c r="D912" s="442"/>
      <c r="E912" s="962" t="s">
        <v>442</v>
      </c>
      <c r="F912" s="703"/>
      <c r="G912" s="704"/>
      <c r="H912" s="704"/>
      <c r="I912" s="704"/>
      <c r="J912" s="704"/>
      <c r="K912" s="389"/>
      <c r="L912" s="963"/>
      <c r="M912" s="963"/>
      <c r="N912" s="964">
        <v>0</v>
      </c>
      <c r="O912" s="874"/>
      <c r="P912" s="960"/>
      <c r="Q912" s="822"/>
      <c r="R912" s="961"/>
    </row>
    <row r="913" spans="1:18" s="444" customFormat="1" ht="36" customHeight="1">
      <c r="A913" s="672"/>
      <c r="B913" s="673"/>
      <c r="C913" s="454"/>
      <c r="D913" s="442"/>
      <c r="E913" s="962" t="s">
        <v>443</v>
      </c>
      <c r="F913" s="703"/>
      <c r="G913" s="704"/>
      <c r="H913" s="704"/>
      <c r="I913" s="704"/>
      <c r="J913" s="704"/>
      <c r="K913" s="389"/>
      <c r="L913" s="963"/>
      <c r="M913" s="963"/>
      <c r="N913" s="964">
        <v>13108.11</v>
      </c>
      <c r="O913" s="874"/>
      <c r="P913" s="960"/>
      <c r="Q913" s="822"/>
      <c r="R913" s="961"/>
    </row>
    <row r="914" spans="1:18" s="444" customFormat="1" ht="36" customHeight="1">
      <c r="A914" s="672"/>
      <c r="B914" s="673"/>
      <c r="C914" s="454"/>
      <c r="D914" s="442"/>
      <c r="E914" s="962" t="s">
        <v>482</v>
      </c>
      <c r="F914" s="703"/>
      <c r="G914" s="704"/>
      <c r="H914" s="704"/>
      <c r="I914" s="704"/>
      <c r="J914" s="704"/>
      <c r="K914" s="389"/>
      <c r="L914" s="963"/>
      <c r="M914" s="963"/>
      <c r="N914" s="964">
        <v>0</v>
      </c>
      <c r="O914" s="874"/>
      <c r="P914" s="960"/>
      <c r="Q914" s="822"/>
      <c r="R914" s="961"/>
    </row>
    <row r="915" spans="1:18" s="444" customFormat="1" ht="36" customHeight="1">
      <c r="A915" s="672"/>
      <c r="B915" s="673"/>
      <c r="C915" s="454"/>
      <c r="D915" s="442"/>
      <c r="E915" s="962" t="s">
        <v>485</v>
      </c>
      <c r="F915" s="703"/>
      <c r="G915" s="704"/>
      <c r="H915" s="704"/>
      <c r="I915" s="704"/>
      <c r="J915" s="704"/>
      <c r="K915" s="389"/>
      <c r="L915" s="963"/>
      <c r="M915" s="963"/>
      <c r="N915" s="964">
        <v>0</v>
      </c>
      <c r="O915" s="874"/>
      <c r="P915" s="960"/>
      <c r="Q915" s="822"/>
      <c r="R915" s="961"/>
    </row>
    <row r="916" spans="1:18" s="444" customFormat="1" ht="36" customHeight="1">
      <c r="A916" s="672"/>
      <c r="B916" s="673"/>
      <c r="C916" s="454"/>
      <c r="D916" s="442"/>
      <c r="E916" s="962" t="s">
        <v>445</v>
      </c>
      <c r="F916" s="703"/>
      <c r="G916" s="704"/>
      <c r="H916" s="704"/>
      <c r="I916" s="704"/>
      <c r="J916" s="704"/>
      <c r="K916" s="389"/>
      <c r="L916" s="963"/>
      <c r="M916" s="963"/>
      <c r="N916" s="964">
        <v>14261.55</v>
      </c>
      <c r="O916" s="874"/>
      <c r="P916" s="960"/>
      <c r="Q916" s="822"/>
      <c r="R916" s="961"/>
    </row>
    <row r="917" spans="1:18" s="444" customFormat="1" ht="57" customHeight="1">
      <c r="A917" s="672"/>
      <c r="B917" s="673"/>
      <c r="C917" s="965"/>
      <c r="D917" s="442"/>
      <c r="E917" s="950" t="s">
        <v>446</v>
      </c>
      <c r="F917" s="955">
        <v>117300</v>
      </c>
      <c r="G917" s="955">
        <v>111778</v>
      </c>
      <c r="H917" s="955">
        <v>74715.13</v>
      </c>
      <c r="I917" s="704"/>
      <c r="J917" s="704"/>
      <c r="K917" s="532"/>
      <c r="L917" s="955">
        <v>325000</v>
      </c>
      <c r="M917" s="955">
        <v>272914</v>
      </c>
      <c r="N917" s="956">
        <f>SUM(N918:N938)</f>
        <v>50957.32</v>
      </c>
      <c r="O917" s="932">
        <f>N917/M917</f>
        <v>0.18671566867218245</v>
      </c>
      <c r="P917" s="960" t="s">
        <v>286</v>
      </c>
      <c r="Q917" s="822"/>
      <c r="R917" s="961"/>
    </row>
    <row r="918" spans="1:18" s="444" customFormat="1" ht="81" customHeight="1">
      <c r="A918" s="672"/>
      <c r="B918" s="673"/>
      <c r="C918" s="965"/>
      <c r="D918" s="442"/>
      <c r="E918" s="966" t="s">
        <v>447</v>
      </c>
      <c r="F918" s="967"/>
      <c r="G918" s="967"/>
      <c r="H918" s="967">
        <v>0</v>
      </c>
      <c r="I918" s="704"/>
      <c r="J918" s="704"/>
      <c r="K918" s="532"/>
      <c r="L918" s="967"/>
      <c r="M918" s="967"/>
      <c r="N918" s="968">
        <v>752.76</v>
      </c>
      <c r="O918" s="874"/>
      <c r="P918" s="960"/>
      <c r="Q918" s="822"/>
      <c r="R918" s="961"/>
    </row>
    <row r="919" spans="1:18" s="444" customFormat="1" ht="36" customHeight="1">
      <c r="A919" s="672"/>
      <c r="B919" s="673"/>
      <c r="C919" s="965"/>
      <c r="D919" s="442"/>
      <c r="E919" s="966" t="s">
        <v>448</v>
      </c>
      <c r="F919" s="967"/>
      <c r="G919" s="967"/>
      <c r="H919" s="967">
        <v>0</v>
      </c>
      <c r="I919" s="704"/>
      <c r="J919" s="704"/>
      <c r="K919" s="532"/>
      <c r="L919" s="967"/>
      <c r="M919" s="967"/>
      <c r="N919" s="968">
        <v>0</v>
      </c>
      <c r="O919" s="874"/>
      <c r="P919" s="960"/>
      <c r="Q919" s="822"/>
      <c r="R919" s="961"/>
    </row>
    <row r="920" spans="1:18" s="444" customFormat="1" ht="36" customHeight="1">
      <c r="A920" s="672"/>
      <c r="B920" s="673"/>
      <c r="C920" s="965"/>
      <c r="D920" s="442"/>
      <c r="E920" s="966" t="s">
        <v>449</v>
      </c>
      <c r="F920" s="967"/>
      <c r="G920" s="967"/>
      <c r="H920" s="967">
        <v>0</v>
      </c>
      <c r="I920" s="704"/>
      <c r="J920" s="704"/>
      <c r="K920" s="532"/>
      <c r="L920" s="967"/>
      <c r="M920" s="967"/>
      <c r="N920" s="968">
        <v>0</v>
      </c>
      <c r="O920" s="874"/>
      <c r="P920" s="960"/>
      <c r="Q920" s="822"/>
      <c r="R920" s="961"/>
    </row>
    <row r="921" spans="1:18" s="444" customFormat="1" ht="36" customHeight="1">
      <c r="A921" s="672"/>
      <c r="B921" s="673"/>
      <c r="C921" s="965"/>
      <c r="D921" s="442"/>
      <c r="E921" s="966" t="s">
        <v>450</v>
      </c>
      <c r="F921" s="967"/>
      <c r="G921" s="967"/>
      <c r="H921" s="967">
        <v>0</v>
      </c>
      <c r="I921" s="704"/>
      <c r="J921" s="704"/>
      <c r="K921" s="532"/>
      <c r="L921" s="967"/>
      <c r="M921" s="967"/>
      <c r="N921" s="968">
        <v>0</v>
      </c>
      <c r="O921" s="874"/>
      <c r="P921" s="960"/>
      <c r="Q921" s="822"/>
      <c r="R921" s="961"/>
    </row>
    <row r="922" spans="1:18" s="444" customFormat="1" ht="36" customHeight="1">
      <c r="A922" s="672"/>
      <c r="B922" s="673"/>
      <c r="C922" s="965"/>
      <c r="D922" s="442"/>
      <c r="E922" s="966" t="s">
        <v>451</v>
      </c>
      <c r="F922" s="967"/>
      <c r="G922" s="967"/>
      <c r="H922" s="967">
        <v>0</v>
      </c>
      <c r="I922" s="704"/>
      <c r="J922" s="704"/>
      <c r="K922" s="532"/>
      <c r="L922" s="967"/>
      <c r="M922" s="967"/>
      <c r="N922" s="968">
        <v>0</v>
      </c>
      <c r="O922" s="874"/>
      <c r="P922" s="960"/>
      <c r="Q922" s="822"/>
      <c r="R922" s="961"/>
    </row>
    <row r="923" spans="1:18" s="444" customFormat="1" ht="36" customHeight="1">
      <c r="A923" s="672"/>
      <c r="B923" s="673"/>
      <c r="C923" s="965"/>
      <c r="D923" s="442"/>
      <c r="E923" s="969" t="s">
        <v>507</v>
      </c>
      <c r="F923" s="967"/>
      <c r="G923" s="967"/>
      <c r="H923" s="967">
        <v>4300</v>
      </c>
      <c r="I923" s="704"/>
      <c r="J923" s="704"/>
      <c r="K923" s="532"/>
      <c r="L923" s="967"/>
      <c r="M923" s="967"/>
      <c r="N923" s="968">
        <v>0</v>
      </c>
      <c r="O923" s="874"/>
      <c r="P923" s="960"/>
      <c r="Q923" s="822"/>
      <c r="R923" s="961"/>
    </row>
    <row r="924" spans="1:18" s="444" customFormat="1" ht="84" customHeight="1">
      <c r="A924" s="672"/>
      <c r="B924" s="673"/>
      <c r="C924" s="965"/>
      <c r="D924" s="442"/>
      <c r="E924" s="966" t="s">
        <v>453</v>
      </c>
      <c r="F924" s="967"/>
      <c r="G924" s="967"/>
      <c r="H924" s="967">
        <v>0</v>
      </c>
      <c r="I924" s="704"/>
      <c r="J924" s="704"/>
      <c r="K924" s="532"/>
      <c r="L924" s="967"/>
      <c r="M924" s="967"/>
      <c r="N924" s="968">
        <v>0</v>
      </c>
      <c r="O924" s="874"/>
      <c r="P924" s="960"/>
      <c r="Q924" s="822"/>
      <c r="R924" s="961"/>
    </row>
    <row r="925" spans="1:18" s="444" customFormat="1" ht="54.75" customHeight="1">
      <c r="A925" s="672"/>
      <c r="B925" s="673"/>
      <c r="C925" s="965"/>
      <c r="D925" s="442"/>
      <c r="E925" s="966" t="s">
        <v>454</v>
      </c>
      <c r="F925" s="967"/>
      <c r="G925" s="967"/>
      <c r="H925" s="967">
        <v>0</v>
      </c>
      <c r="I925" s="704"/>
      <c r="J925" s="704"/>
      <c r="K925" s="532"/>
      <c r="L925" s="967"/>
      <c r="M925" s="967"/>
      <c r="N925" s="968">
        <v>0</v>
      </c>
      <c r="O925" s="874"/>
      <c r="P925" s="960"/>
      <c r="Q925" s="822"/>
      <c r="R925" s="961"/>
    </row>
    <row r="926" spans="1:18" s="444" customFormat="1" ht="36" customHeight="1">
      <c r="A926" s="672"/>
      <c r="B926" s="673"/>
      <c r="C926" s="965"/>
      <c r="D926" s="442"/>
      <c r="E926" s="966" t="s">
        <v>455</v>
      </c>
      <c r="F926" s="967"/>
      <c r="G926" s="967"/>
      <c r="H926" s="967">
        <v>0</v>
      </c>
      <c r="I926" s="704"/>
      <c r="J926" s="704"/>
      <c r="K926" s="532"/>
      <c r="L926" s="967"/>
      <c r="M926" s="967"/>
      <c r="N926" s="968">
        <v>0</v>
      </c>
      <c r="O926" s="874"/>
      <c r="P926" s="960"/>
      <c r="Q926" s="822"/>
      <c r="R926" s="961"/>
    </row>
    <row r="927" spans="1:18" s="444" customFormat="1" ht="62.25" customHeight="1">
      <c r="A927" s="672"/>
      <c r="B927" s="673"/>
      <c r="C927" s="965"/>
      <c r="D927" s="442"/>
      <c r="E927" s="966" t="s">
        <v>456</v>
      </c>
      <c r="F927" s="967"/>
      <c r="G927" s="967"/>
      <c r="H927" s="967">
        <v>0</v>
      </c>
      <c r="I927" s="704"/>
      <c r="J927" s="704"/>
      <c r="K927" s="532"/>
      <c r="L927" s="967"/>
      <c r="M927" s="967"/>
      <c r="N927" s="968">
        <v>0</v>
      </c>
      <c r="O927" s="874"/>
      <c r="P927" s="960"/>
      <c r="Q927" s="822"/>
      <c r="R927" s="961"/>
    </row>
    <row r="928" spans="1:18" s="444" customFormat="1" ht="36" customHeight="1">
      <c r="A928" s="672"/>
      <c r="B928" s="673"/>
      <c r="C928" s="965"/>
      <c r="D928" s="442"/>
      <c r="E928" s="966" t="s">
        <v>457</v>
      </c>
      <c r="F928" s="967"/>
      <c r="G928" s="967"/>
      <c r="H928" s="967">
        <v>0</v>
      </c>
      <c r="I928" s="704"/>
      <c r="J928" s="704"/>
      <c r="K928" s="532"/>
      <c r="L928" s="967"/>
      <c r="M928" s="967"/>
      <c r="N928" s="968">
        <v>0</v>
      </c>
      <c r="O928" s="874"/>
      <c r="P928" s="960"/>
      <c r="Q928" s="822"/>
      <c r="R928" s="961"/>
    </row>
    <row r="929" spans="1:18" s="444" customFormat="1" ht="60.75" customHeight="1">
      <c r="A929" s="672"/>
      <c r="B929" s="673"/>
      <c r="C929" s="965"/>
      <c r="D929" s="442"/>
      <c r="E929" s="966" t="s">
        <v>458</v>
      </c>
      <c r="F929" s="967"/>
      <c r="G929" s="967"/>
      <c r="H929" s="967">
        <v>0</v>
      </c>
      <c r="I929" s="704"/>
      <c r="J929" s="704"/>
      <c r="K929" s="532"/>
      <c r="L929" s="967"/>
      <c r="M929" s="967"/>
      <c r="N929" s="968">
        <v>0</v>
      </c>
      <c r="O929" s="874"/>
      <c r="P929" s="960"/>
      <c r="Q929" s="822"/>
      <c r="R929" s="961"/>
    </row>
    <row r="930" spans="1:18" s="444" customFormat="1" ht="36" customHeight="1">
      <c r="A930" s="672"/>
      <c r="B930" s="673"/>
      <c r="C930" s="965"/>
      <c r="D930" s="442"/>
      <c r="E930" s="966" t="s">
        <v>459</v>
      </c>
      <c r="F930" s="970"/>
      <c r="G930" s="970"/>
      <c r="H930" s="967">
        <v>32231.32</v>
      </c>
      <c r="I930" s="704"/>
      <c r="J930" s="704"/>
      <c r="K930" s="532"/>
      <c r="L930" s="970"/>
      <c r="M930" s="970"/>
      <c r="N930" s="968">
        <v>1269.26</v>
      </c>
      <c r="O930" s="874"/>
      <c r="P930" s="960"/>
      <c r="Q930" s="822"/>
      <c r="R930" s="961"/>
    </row>
    <row r="931" spans="1:18" s="444" customFormat="1" ht="36" customHeight="1">
      <c r="A931" s="672"/>
      <c r="B931" s="673"/>
      <c r="C931" s="965"/>
      <c r="D931" s="442"/>
      <c r="E931" s="966" t="s">
        <v>460</v>
      </c>
      <c r="F931" s="970"/>
      <c r="G931" s="970"/>
      <c r="H931" s="967">
        <v>0</v>
      </c>
      <c r="I931" s="704"/>
      <c r="J931" s="704"/>
      <c r="K931" s="532"/>
      <c r="L931" s="970"/>
      <c r="M931" s="970"/>
      <c r="N931" s="968">
        <v>0</v>
      </c>
      <c r="O931" s="874"/>
      <c r="P931" s="960"/>
      <c r="Q931" s="822"/>
      <c r="R931" s="961"/>
    </row>
    <row r="932" spans="1:18" s="444" customFormat="1" ht="36" customHeight="1">
      <c r="A932" s="672"/>
      <c r="B932" s="673"/>
      <c r="C932" s="965"/>
      <c r="D932" s="442"/>
      <c r="E932" s="966" t="s">
        <v>461</v>
      </c>
      <c r="F932" s="970"/>
      <c r="G932" s="970"/>
      <c r="H932" s="967">
        <v>692</v>
      </c>
      <c r="I932" s="704"/>
      <c r="J932" s="704"/>
      <c r="K932" s="532"/>
      <c r="L932" s="970"/>
      <c r="M932" s="970"/>
      <c r="N932" s="968">
        <v>0</v>
      </c>
      <c r="O932" s="874"/>
      <c r="P932" s="960"/>
      <c r="Q932" s="822"/>
      <c r="R932" s="961"/>
    </row>
    <row r="933" spans="1:18" s="444" customFormat="1" ht="36" customHeight="1">
      <c r="A933" s="672"/>
      <c r="B933" s="673"/>
      <c r="C933" s="965"/>
      <c r="D933" s="442"/>
      <c r="E933" s="966" t="s">
        <v>462</v>
      </c>
      <c r="F933" s="970"/>
      <c r="G933" s="970"/>
      <c r="H933" s="967">
        <v>35817</v>
      </c>
      <c r="I933" s="704"/>
      <c r="J933" s="704"/>
      <c r="K933" s="532"/>
      <c r="L933" s="970"/>
      <c r="M933" s="970"/>
      <c r="N933" s="968">
        <v>5814</v>
      </c>
      <c r="O933" s="874"/>
      <c r="P933" s="960"/>
      <c r="Q933" s="822"/>
      <c r="R933" s="961"/>
    </row>
    <row r="934" spans="1:18" s="444" customFormat="1" ht="36" customHeight="1">
      <c r="A934" s="672"/>
      <c r="B934" s="673"/>
      <c r="C934" s="965"/>
      <c r="D934" s="442"/>
      <c r="E934" s="966" t="s">
        <v>463</v>
      </c>
      <c r="F934" s="970"/>
      <c r="G934" s="970"/>
      <c r="H934" s="967">
        <v>0</v>
      </c>
      <c r="I934" s="704"/>
      <c r="J934" s="704"/>
      <c r="K934" s="532"/>
      <c r="L934" s="970"/>
      <c r="M934" s="970"/>
      <c r="N934" s="968">
        <v>41985.67</v>
      </c>
      <c r="O934" s="874"/>
      <c r="P934" s="960"/>
      <c r="Q934" s="822"/>
      <c r="R934" s="961"/>
    </row>
    <row r="935" spans="1:18" s="444" customFormat="1" ht="62.25" customHeight="1">
      <c r="A935" s="672"/>
      <c r="B935" s="673"/>
      <c r="C935" s="965"/>
      <c r="D935" s="442"/>
      <c r="E935" s="966" t="s">
        <v>464</v>
      </c>
      <c r="F935" s="970"/>
      <c r="G935" s="970"/>
      <c r="H935" s="967">
        <v>0</v>
      </c>
      <c r="I935" s="704"/>
      <c r="J935" s="704"/>
      <c r="K935" s="532"/>
      <c r="L935" s="970"/>
      <c r="M935" s="970"/>
      <c r="N935" s="968">
        <v>1135.6300000000001</v>
      </c>
      <c r="O935" s="874"/>
      <c r="P935" s="960"/>
      <c r="Q935" s="822"/>
      <c r="R935" s="961"/>
    </row>
    <row r="936" spans="1:18" s="444" customFormat="1" ht="36" customHeight="1">
      <c r="A936" s="672"/>
      <c r="B936" s="673"/>
      <c r="C936" s="965"/>
      <c r="D936" s="442"/>
      <c r="E936" s="966" t="s">
        <v>465</v>
      </c>
      <c r="F936" s="970"/>
      <c r="G936" s="970"/>
      <c r="H936" s="967">
        <v>0</v>
      </c>
      <c r="I936" s="704"/>
      <c r="J936" s="704"/>
      <c r="K936" s="532"/>
      <c r="L936" s="970"/>
      <c r="M936" s="970"/>
      <c r="N936" s="968">
        <v>0</v>
      </c>
      <c r="O936" s="874"/>
      <c r="P936" s="960"/>
      <c r="Q936" s="822"/>
      <c r="R936" s="961"/>
    </row>
    <row r="937" spans="1:18" s="444" customFormat="1" ht="36" customHeight="1">
      <c r="A937" s="672"/>
      <c r="B937" s="673"/>
      <c r="C937" s="965"/>
      <c r="D937" s="442"/>
      <c r="E937" s="966" t="s">
        <v>466</v>
      </c>
      <c r="F937" s="970"/>
      <c r="G937" s="970"/>
      <c r="H937" s="967">
        <v>0</v>
      </c>
      <c r="I937" s="704"/>
      <c r="J937" s="704"/>
      <c r="K937" s="532"/>
      <c r="L937" s="970"/>
      <c r="M937" s="970"/>
      <c r="N937" s="968">
        <v>0</v>
      </c>
      <c r="O937" s="874"/>
      <c r="P937" s="960"/>
      <c r="Q937" s="822"/>
      <c r="R937" s="961"/>
    </row>
    <row r="938" spans="1:18" s="444" customFormat="1" ht="36" customHeight="1">
      <c r="A938" s="672"/>
      <c r="B938" s="673"/>
      <c r="C938" s="965"/>
      <c r="D938" s="442"/>
      <c r="E938" s="966" t="s">
        <v>492</v>
      </c>
      <c r="F938" s="970"/>
      <c r="G938" s="970"/>
      <c r="H938" s="967">
        <v>1674.81</v>
      </c>
      <c r="I938" s="704"/>
      <c r="J938" s="704"/>
      <c r="K938" s="532"/>
      <c r="L938" s="970"/>
      <c r="M938" s="970"/>
      <c r="N938" s="968">
        <v>0</v>
      </c>
      <c r="O938" s="874"/>
      <c r="P938" s="960"/>
      <c r="Q938" s="822"/>
      <c r="R938" s="961"/>
    </row>
    <row r="939" spans="1:18" s="444" customFormat="1" ht="57" customHeight="1">
      <c r="A939" s="672"/>
      <c r="B939" s="673"/>
      <c r="C939" s="965"/>
      <c r="D939" s="442"/>
      <c r="E939" s="950" t="s">
        <v>467</v>
      </c>
      <c r="F939" s="955">
        <v>117300</v>
      </c>
      <c r="G939" s="955">
        <v>111778</v>
      </c>
      <c r="H939" s="955">
        <v>74715.13</v>
      </c>
      <c r="I939" s="704"/>
      <c r="J939" s="704"/>
      <c r="K939" s="532"/>
      <c r="L939" s="955">
        <v>0</v>
      </c>
      <c r="M939" s="955">
        <v>0</v>
      </c>
      <c r="N939" s="955">
        <v>0</v>
      </c>
      <c r="O939" s="932">
        <v>0</v>
      </c>
      <c r="P939" s="960" t="s">
        <v>286</v>
      </c>
      <c r="Q939" s="822"/>
      <c r="R939" s="961"/>
    </row>
    <row r="940" spans="1:18" s="188" customFormat="1" ht="45" customHeight="1">
      <c r="A940" s="492"/>
      <c r="B940" s="178"/>
      <c r="C940" s="203">
        <v>3</v>
      </c>
      <c r="D940" s="468"/>
      <c r="E940" s="271" t="s">
        <v>49</v>
      </c>
      <c r="F940" s="528"/>
      <c r="G940" s="457"/>
      <c r="H940" s="457"/>
      <c r="I940" s="457"/>
      <c r="J940" s="460"/>
      <c r="K940" s="457">
        <f>175900+4500+4303+125000+6497+800</f>
        <v>317000</v>
      </c>
      <c r="L940" s="457">
        <f>L941+L960+L982</f>
        <v>317000</v>
      </c>
      <c r="M940" s="457">
        <f t="shared" ref="M940:N940" si="133">M941+M960+M982</f>
        <v>317381</v>
      </c>
      <c r="N940" s="457">
        <f t="shared" si="133"/>
        <v>115264.57999999999</v>
      </c>
      <c r="O940" s="877">
        <f>N940/M940</f>
        <v>0.36317416606539138</v>
      </c>
      <c r="P940" s="778" t="s">
        <v>286</v>
      </c>
    </row>
    <row r="941" spans="1:18" s="435" customFormat="1" ht="39.9" customHeight="1">
      <c r="A941" s="705"/>
      <c r="B941" s="949"/>
      <c r="C941" s="463"/>
      <c r="D941" s="448"/>
      <c r="E941" s="950" t="s">
        <v>435</v>
      </c>
      <c r="F941" s="951"/>
      <c r="G941" s="952"/>
      <c r="H941" s="952"/>
      <c r="I941" s="952"/>
      <c r="J941" s="953"/>
      <c r="K941" s="954"/>
      <c r="L941" s="955">
        <v>175900</v>
      </c>
      <c r="M941" s="955">
        <v>175158</v>
      </c>
      <c r="N941" s="956">
        <f>SUM(N943:N959)</f>
        <v>92643.209999999992</v>
      </c>
      <c r="O941" s="932">
        <f>N941/M941</f>
        <v>0.52891223923543307</v>
      </c>
      <c r="P941" s="957" t="s">
        <v>286</v>
      </c>
      <c r="Q941" s="823"/>
      <c r="R941" s="958"/>
    </row>
    <row r="942" spans="1:18" s="444" customFormat="1" ht="34.5" customHeight="1">
      <c r="A942" s="672"/>
      <c r="B942" s="673"/>
      <c r="C942" s="454"/>
      <c r="D942" s="442"/>
      <c r="E942" s="959" t="s">
        <v>16</v>
      </c>
      <c r="F942" s="703"/>
      <c r="G942" s="704"/>
      <c r="H942" s="704"/>
      <c r="I942" s="704"/>
      <c r="J942" s="704"/>
      <c r="K942" s="389"/>
      <c r="L942" s="666"/>
      <c r="M942" s="666"/>
      <c r="N942" s="666"/>
      <c r="O942" s="874"/>
      <c r="P942" s="960"/>
      <c r="Q942" s="822"/>
      <c r="R942" s="961"/>
    </row>
    <row r="943" spans="1:18" s="444" customFormat="1" ht="36" customHeight="1">
      <c r="A943" s="672"/>
      <c r="B943" s="673"/>
      <c r="C943" s="454"/>
      <c r="D943" s="429"/>
      <c r="E943" s="962" t="s">
        <v>476</v>
      </c>
      <c r="F943" s="703"/>
      <c r="G943" s="704"/>
      <c r="H943" s="704"/>
      <c r="I943" s="704"/>
      <c r="J943" s="704"/>
      <c r="K943" s="389"/>
      <c r="L943" s="963"/>
      <c r="M943" s="963"/>
      <c r="N943" s="964">
        <v>0</v>
      </c>
      <c r="O943" s="874"/>
      <c r="P943" s="960"/>
      <c r="Q943" s="822"/>
      <c r="R943" s="961"/>
    </row>
    <row r="944" spans="1:18" s="444" customFormat="1" ht="57" customHeight="1">
      <c r="A944" s="672"/>
      <c r="B944" s="673"/>
      <c r="C944" s="454"/>
      <c r="D944" s="442"/>
      <c r="E944" s="962" t="s">
        <v>469</v>
      </c>
      <c r="F944" s="703"/>
      <c r="G944" s="704"/>
      <c r="H944" s="704"/>
      <c r="I944" s="704"/>
      <c r="J944" s="704"/>
      <c r="K944" s="389"/>
      <c r="L944" s="963"/>
      <c r="M944" s="963"/>
      <c r="N944" s="964">
        <v>0</v>
      </c>
      <c r="O944" s="874"/>
      <c r="P944" s="960"/>
      <c r="Q944" s="822"/>
      <c r="R944" s="961"/>
    </row>
    <row r="945" spans="1:18" s="444" customFormat="1" ht="36" customHeight="1">
      <c r="A945" s="672"/>
      <c r="B945" s="673"/>
      <c r="C945" s="454"/>
      <c r="D945" s="442"/>
      <c r="E945" s="962" t="s">
        <v>477</v>
      </c>
      <c r="F945" s="703"/>
      <c r="G945" s="704"/>
      <c r="H945" s="704"/>
      <c r="I945" s="704"/>
      <c r="J945" s="704"/>
      <c r="K945" s="389"/>
      <c r="L945" s="963"/>
      <c r="M945" s="963"/>
      <c r="N945" s="964">
        <v>0</v>
      </c>
      <c r="O945" s="874"/>
      <c r="P945" s="960"/>
      <c r="Q945" s="822"/>
      <c r="R945" s="961"/>
    </row>
    <row r="946" spans="1:18" s="444" customFormat="1" ht="36" customHeight="1">
      <c r="A946" s="672"/>
      <c r="B946" s="673"/>
      <c r="C946" s="454"/>
      <c r="D946" s="442"/>
      <c r="E946" s="962" t="s">
        <v>478</v>
      </c>
      <c r="F946" s="703"/>
      <c r="G946" s="704"/>
      <c r="H946" s="704"/>
      <c r="I946" s="704"/>
      <c r="J946" s="704"/>
      <c r="K946" s="389"/>
      <c r="L946" s="963"/>
      <c r="M946" s="963"/>
      <c r="N946" s="964">
        <v>0</v>
      </c>
      <c r="O946" s="874"/>
      <c r="P946" s="960"/>
      <c r="Q946" s="822"/>
      <c r="R946" s="961"/>
    </row>
    <row r="947" spans="1:18" s="444" customFormat="1" ht="36" customHeight="1">
      <c r="A947" s="672"/>
      <c r="B947" s="673"/>
      <c r="C947" s="454"/>
      <c r="D947" s="442"/>
      <c r="E947" s="962" t="s">
        <v>479</v>
      </c>
      <c r="F947" s="703"/>
      <c r="G947" s="704"/>
      <c r="H947" s="704"/>
      <c r="I947" s="704"/>
      <c r="J947" s="704"/>
      <c r="K947" s="389"/>
      <c r="L947" s="963"/>
      <c r="M947" s="963"/>
      <c r="N947" s="964">
        <v>0</v>
      </c>
      <c r="O947" s="874"/>
      <c r="P947" s="960"/>
      <c r="Q947" s="822"/>
      <c r="R947" s="961"/>
    </row>
    <row r="948" spans="1:18" s="444" customFormat="1" ht="36" customHeight="1">
      <c r="A948" s="672"/>
      <c r="B948" s="673"/>
      <c r="C948" s="454"/>
      <c r="D948" s="442"/>
      <c r="E948" s="962" t="s">
        <v>437</v>
      </c>
      <c r="F948" s="703"/>
      <c r="G948" s="704"/>
      <c r="H948" s="704"/>
      <c r="I948" s="704"/>
      <c r="J948" s="704"/>
      <c r="K948" s="389"/>
      <c r="L948" s="963"/>
      <c r="M948" s="963"/>
      <c r="N948" s="964">
        <v>0</v>
      </c>
      <c r="O948" s="874"/>
      <c r="P948" s="960"/>
      <c r="Q948" s="822"/>
      <c r="R948" s="961"/>
    </row>
    <row r="949" spans="1:18" s="444" customFormat="1" ht="36" customHeight="1">
      <c r="A949" s="672"/>
      <c r="B949" s="673"/>
      <c r="C949" s="454"/>
      <c r="D949" s="442"/>
      <c r="E949" s="962" t="s">
        <v>438</v>
      </c>
      <c r="F949" s="703"/>
      <c r="G949" s="704"/>
      <c r="H949" s="704"/>
      <c r="I949" s="704"/>
      <c r="J949" s="704"/>
      <c r="K949" s="389"/>
      <c r="L949" s="963"/>
      <c r="M949" s="963"/>
      <c r="N949" s="964">
        <v>0</v>
      </c>
      <c r="O949" s="874"/>
      <c r="P949" s="960"/>
      <c r="Q949" s="822"/>
      <c r="R949" s="961"/>
    </row>
    <row r="950" spans="1:18" s="444" customFormat="1" ht="36" customHeight="1">
      <c r="A950" s="672"/>
      <c r="B950" s="673"/>
      <c r="C950" s="454"/>
      <c r="D950" s="442"/>
      <c r="E950" s="962" t="s">
        <v>480</v>
      </c>
      <c r="F950" s="703"/>
      <c r="G950" s="704"/>
      <c r="H950" s="704"/>
      <c r="I950" s="704"/>
      <c r="J950" s="704"/>
      <c r="K950" s="389"/>
      <c r="L950" s="963"/>
      <c r="M950" s="963"/>
      <c r="N950" s="964">
        <v>0</v>
      </c>
      <c r="O950" s="874"/>
      <c r="P950" s="960"/>
      <c r="Q950" s="822"/>
      <c r="R950" s="961"/>
    </row>
    <row r="951" spans="1:18" s="444" customFormat="1" ht="36" customHeight="1">
      <c r="A951" s="672"/>
      <c r="B951" s="673"/>
      <c r="C951" s="454"/>
      <c r="D951" s="442"/>
      <c r="E951" s="962" t="s">
        <v>439</v>
      </c>
      <c r="F951" s="703"/>
      <c r="G951" s="704"/>
      <c r="H951" s="704"/>
      <c r="I951" s="704"/>
      <c r="J951" s="704"/>
      <c r="K951" s="389"/>
      <c r="L951" s="963"/>
      <c r="M951" s="963"/>
      <c r="N951" s="964">
        <v>0</v>
      </c>
      <c r="O951" s="874"/>
      <c r="P951" s="960"/>
      <c r="Q951" s="822"/>
      <c r="R951" s="961"/>
    </row>
    <row r="952" spans="1:18" s="444" customFormat="1" ht="36" customHeight="1">
      <c r="A952" s="672"/>
      <c r="B952" s="673"/>
      <c r="C952" s="454"/>
      <c r="D952" s="442"/>
      <c r="E952" s="962" t="s">
        <v>440</v>
      </c>
      <c r="F952" s="703"/>
      <c r="G952" s="704"/>
      <c r="H952" s="704"/>
      <c r="I952" s="704"/>
      <c r="J952" s="704"/>
      <c r="K952" s="389"/>
      <c r="L952" s="963"/>
      <c r="M952" s="963"/>
      <c r="N952" s="964">
        <v>0</v>
      </c>
      <c r="O952" s="874"/>
      <c r="P952" s="960"/>
      <c r="Q952" s="822"/>
      <c r="R952" s="961"/>
    </row>
    <row r="953" spans="1:18" s="444" customFormat="1" ht="36" customHeight="1">
      <c r="A953" s="672"/>
      <c r="B953" s="673"/>
      <c r="C953" s="454"/>
      <c r="D953" s="442"/>
      <c r="E953" s="962" t="s">
        <v>441</v>
      </c>
      <c r="F953" s="703"/>
      <c r="G953" s="704"/>
      <c r="H953" s="704"/>
      <c r="I953" s="704"/>
      <c r="J953" s="704"/>
      <c r="K953" s="389"/>
      <c r="L953" s="963"/>
      <c r="M953" s="963"/>
      <c r="N953" s="964">
        <v>0</v>
      </c>
      <c r="O953" s="874"/>
      <c r="P953" s="960"/>
      <c r="Q953" s="822"/>
      <c r="R953" s="961"/>
    </row>
    <row r="954" spans="1:18" s="444" customFormat="1" ht="36" customHeight="1">
      <c r="A954" s="672"/>
      <c r="B954" s="673"/>
      <c r="C954" s="454"/>
      <c r="D954" s="442"/>
      <c r="E954" s="962" t="s">
        <v>517</v>
      </c>
      <c r="F954" s="703"/>
      <c r="G954" s="704"/>
      <c r="H954" s="704"/>
      <c r="I954" s="704"/>
      <c r="J954" s="704"/>
      <c r="K954" s="389"/>
      <c r="L954" s="963"/>
      <c r="M954" s="963"/>
      <c r="N954" s="964">
        <v>71016.2</v>
      </c>
      <c r="O954" s="874"/>
      <c r="P954" s="960"/>
      <c r="Q954" s="822"/>
      <c r="R954" s="961"/>
    </row>
    <row r="955" spans="1:18" s="444" customFormat="1" ht="36" customHeight="1">
      <c r="A955" s="672"/>
      <c r="B955" s="673"/>
      <c r="C955" s="454"/>
      <c r="D955" s="442"/>
      <c r="E955" s="962" t="s">
        <v>442</v>
      </c>
      <c r="F955" s="703"/>
      <c r="G955" s="704"/>
      <c r="H955" s="704"/>
      <c r="I955" s="704"/>
      <c r="J955" s="704"/>
      <c r="K955" s="389"/>
      <c r="L955" s="963"/>
      <c r="M955" s="963"/>
      <c r="N955" s="964">
        <v>0</v>
      </c>
      <c r="O955" s="874"/>
      <c r="P955" s="960"/>
      <c r="Q955" s="822"/>
      <c r="R955" s="961"/>
    </row>
    <row r="956" spans="1:18" s="444" customFormat="1" ht="36" customHeight="1">
      <c r="A956" s="672"/>
      <c r="B956" s="673"/>
      <c r="C956" s="454"/>
      <c r="D956" s="442"/>
      <c r="E956" s="962" t="s">
        <v>443</v>
      </c>
      <c r="F956" s="703"/>
      <c r="G956" s="704"/>
      <c r="H956" s="704"/>
      <c r="I956" s="704"/>
      <c r="J956" s="704"/>
      <c r="K956" s="389"/>
      <c r="L956" s="963"/>
      <c r="M956" s="963"/>
      <c r="N956" s="964">
        <v>8557.11</v>
      </c>
      <c r="O956" s="874"/>
      <c r="P956" s="960"/>
      <c r="Q956" s="822"/>
      <c r="R956" s="961"/>
    </row>
    <row r="957" spans="1:18" s="444" customFormat="1" ht="36" customHeight="1">
      <c r="A957" s="672"/>
      <c r="B957" s="673"/>
      <c r="C957" s="454"/>
      <c r="D957" s="442"/>
      <c r="E957" s="962" t="s">
        <v>482</v>
      </c>
      <c r="F957" s="703"/>
      <c r="G957" s="704"/>
      <c r="H957" s="704"/>
      <c r="I957" s="704"/>
      <c r="J957" s="704"/>
      <c r="K957" s="389"/>
      <c r="L957" s="963"/>
      <c r="M957" s="963"/>
      <c r="N957" s="964">
        <v>0</v>
      </c>
      <c r="O957" s="874"/>
      <c r="P957" s="960"/>
      <c r="Q957" s="822"/>
      <c r="R957" s="961"/>
    </row>
    <row r="958" spans="1:18" s="444" customFormat="1" ht="36" customHeight="1">
      <c r="A958" s="672"/>
      <c r="B958" s="673"/>
      <c r="C958" s="454"/>
      <c r="D958" s="442"/>
      <c r="E958" s="962" t="s">
        <v>485</v>
      </c>
      <c r="F958" s="703"/>
      <c r="G958" s="704"/>
      <c r="H958" s="704"/>
      <c r="I958" s="704"/>
      <c r="J958" s="704"/>
      <c r="K958" s="389"/>
      <c r="L958" s="963"/>
      <c r="M958" s="963"/>
      <c r="N958" s="964">
        <v>0</v>
      </c>
      <c r="O958" s="874"/>
      <c r="P958" s="960"/>
      <c r="Q958" s="822"/>
      <c r="R958" s="961"/>
    </row>
    <row r="959" spans="1:18" s="444" customFormat="1" ht="36" customHeight="1">
      <c r="A959" s="672"/>
      <c r="B959" s="673"/>
      <c r="C959" s="454"/>
      <c r="D959" s="442"/>
      <c r="E959" s="962" t="s">
        <v>445</v>
      </c>
      <c r="F959" s="703"/>
      <c r="G959" s="704"/>
      <c r="H959" s="704"/>
      <c r="I959" s="704"/>
      <c r="J959" s="704"/>
      <c r="K959" s="389"/>
      <c r="L959" s="963"/>
      <c r="M959" s="963"/>
      <c r="N959" s="964">
        <v>13069.9</v>
      </c>
      <c r="O959" s="874"/>
      <c r="P959" s="960"/>
      <c r="Q959" s="822"/>
      <c r="R959" s="961"/>
    </row>
    <row r="960" spans="1:18" s="444" customFormat="1" ht="57" customHeight="1">
      <c r="A960" s="672"/>
      <c r="B960" s="673"/>
      <c r="C960" s="965"/>
      <c r="D960" s="442"/>
      <c r="E960" s="950" t="s">
        <v>446</v>
      </c>
      <c r="F960" s="955">
        <v>117300</v>
      </c>
      <c r="G960" s="955">
        <v>111778</v>
      </c>
      <c r="H960" s="955">
        <v>74715.13</v>
      </c>
      <c r="I960" s="704"/>
      <c r="J960" s="704"/>
      <c r="K960" s="532"/>
      <c r="L960" s="955">
        <v>141100</v>
      </c>
      <c r="M960" s="955">
        <v>142223</v>
      </c>
      <c r="N960" s="956">
        <f>SUM(N961:N981)</f>
        <v>22621.370000000003</v>
      </c>
      <c r="O960" s="932">
        <f>N960/M960</f>
        <v>0.15905563797697983</v>
      </c>
      <c r="P960" s="960" t="s">
        <v>286</v>
      </c>
      <c r="Q960" s="822"/>
      <c r="R960" s="961"/>
    </row>
    <row r="961" spans="1:18" s="444" customFormat="1" ht="56.25" customHeight="1">
      <c r="A961" s="672"/>
      <c r="B961" s="673"/>
      <c r="C961" s="965"/>
      <c r="D961" s="442"/>
      <c r="E961" s="966" t="s">
        <v>447</v>
      </c>
      <c r="F961" s="967"/>
      <c r="G961" s="967"/>
      <c r="H961" s="967">
        <v>0</v>
      </c>
      <c r="I961" s="704"/>
      <c r="J961" s="704"/>
      <c r="K961" s="532"/>
      <c r="L961" s="967"/>
      <c r="M961" s="967"/>
      <c r="N961" s="968">
        <v>426.32</v>
      </c>
      <c r="O961" s="874"/>
      <c r="P961" s="960"/>
      <c r="Q961" s="822"/>
      <c r="R961" s="961"/>
    </row>
    <row r="962" spans="1:18" s="444" customFormat="1" ht="36" customHeight="1">
      <c r="A962" s="672"/>
      <c r="B962" s="673"/>
      <c r="C962" s="965"/>
      <c r="D962" s="442"/>
      <c r="E962" s="966" t="s">
        <v>448</v>
      </c>
      <c r="F962" s="967"/>
      <c r="G962" s="967"/>
      <c r="H962" s="967">
        <v>0</v>
      </c>
      <c r="I962" s="704"/>
      <c r="J962" s="704"/>
      <c r="K962" s="532"/>
      <c r="L962" s="967"/>
      <c r="M962" s="967"/>
      <c r="N962" s="968">
        <v>0</v>
      </c>
      <c r="O962" s="874"/>
      <c r="P962" s="960"/>
      <c r="Q962" s="822"/>
      <c r="R962" s="961"/>
    </row>
    <row r="963" spans="1:18" s="444" customFormat="1" ht="36" customHeight="1">
      <c r="A963" s="672"/>
      <c r="B963" s="673"/>
      <c r="C963" s="965"/>
      <c r="D963" s="442"/>
      <c r="E963" s="966" t="s">
        <v>449</v>
      </c>
      <c r="F963" s="967"/>
      <c r="G963" s="967"/>
      <c r="H963" s="967">
        <v>0</v>
      </c>
      <c r="I963" s="704"/>
      <c r="J963" s="704"/>
      <c r="K963" s="532"/>
      <c r="L963" s="967"/>
      <c r="M963" s="967"/>
      <c r="N963" s="968">
        <v>0</v>
      </c>
      <c r="O963" s="874"/>
      <c r="P963" s="960"/>
      <c r="Q963" s="822"/>
      <c r="R963" s="961"/>
    </row>
    <row r="964" spans="1:18" s="444" customFormat="1" ht="36" customHeight="1">
      <c r="A964" s="672"/>
      <c r="B964" s="673"/>
      <c r="C964" s="965"/>
      <c r="D964" s="442"/>
      <c r="E964" s="966" t="s">
        <v>450</v>
      </c>
      <c r="F964" s="967"/>
      <c r="G964" s="967"/>
      <c r="H964" s="967">
        <v>0</v>
      </c>
      <c r="I964" s="704"/>
      <c r="J964" s="704"/>
      <c r="K964" s="532"/>
      <c r="L964" s="967"/>
      <c r="M964" s="967"/>
      <c r="N964" s="968">
        <v>0</v>
      </c>
      <c r="O964" s="874"/>
      <c r="P964" s="960"/>
      <c r="Q964" s="822"/>
      <c r="R964" s="961"/>
    </row>
    <row r="965" spans="1:18" s="444" customFormat="1" ht="36" customHeight="1">
      <c r="A965" s="672"/>
      <c r="B965" s="673"/>
      <c r="C965" s="965"/>
      <c r="D965" s="442"/>
      <c r="E965" s="966" t="s">
        <v>451</v>
      </c>
      <c r="F965" s="967"/>
      <c r="G965" s="967"/>
      <c r="H965" s="967">
        <v>0</v>
      </c>
      <c r="I965" s="704"/>
      <c r="J965" s="704"/>
      <c r="K965" s="532"/>
      <c r="L965" s="967"/>
      <c r="M965" s="967"/>
      <c r="N965" s="968">
        <v>0</v>
      </c>
      <c r="O965" s="874"/>
      <c r="P965" s="960"/>
      <c r="Q965" s="822"/>
      <c r="R965" s="961"/>
    </row>
    <row r="966" spans="1:18" s="444" customFormat="1" ht="38.25" customHeight="1">
      <c r="A966" s="672"/>
      <c r="B966" s="673"/>
      <c r="C966" s="965"/>
      <c r="D966" s="442"/>
      <c r="E966" s="969" t="s">
        <v>518</v>
      </c>
      <c r="F966" s="967"/>
      <c r="G966" s="967"/>
      <c r="H966" s="967">
        <v>4300</v>
      </c>
      <c r="I966" s="704"/>
      <c r="J966" s="704"/>
      <c r="K966" s="532"/>
      <c r="L966" s="967"/>
      <c r="M966" s="967"/>
      <c r="N966" s="968">
        <v>0</v>
      </c>
      <c r="O966" s="874"/>
      <c r="P966" s="960"/>
      <c r="Q966" s="822"/>
      <c r="R966" s="961"/>
    </row>
    <row r="967" spans="1:18" s="444" customFormat="1" ht="84" customHeight="1">
      <c r="A967" s="672"/>
      <c r="B967" s="673"/>
      <c r="C967" s="965"/>
      <c r="D967" s="442"/>
      <c r="E967" s="966" t="s">
        <v>453</v>
      </c>
      <c r="F967" s="967"/>
      <c r="G967" s="967"/>
      <c r="H967" s="967">
        <v>0</v>
      </c>
      <c r="I967" s="704"/>
      <c r="J967" s="704"/>
      <c r="K967" s="532"/>
      <c r="L967" s="967"/>
      <c r="M967" s="967"/>
      <c r="N967" s="968">
        <v>0</v>
      </c>
      <c r="O967" s="874"/>
      <c r="P967" s="960"/>
      <c r="Q967" s="822"/>
      <c r="R967" s="961"/>
    </row>
    <row r="968" spans="1:18" s="444" customFormat="1" ht="61.5" customHeight="1">
      <c r="A968" s="672"/>
      <c r="B968" s="673"/>
      <c r="C968" s="965"/>
      <c r="D968" s="442"/>
      <c r="E968" s="966" t="s">
        <v>454</v>
      </c>
      <c r="F968" s="967"/>
      <c r="G968" s="967"/>
      <c r="H968" s="967">
        <v>0</v>
      </c>
      <c r="I968" s="704"/>
      <c r="J968" s="704"/>
      <c r="K968" s="532"/>
      <c r="L968" s="967"/>
      <c r="M968" s="967"/>
      <c r="N968" s="968">
        <v>0</v>
      </c>
      <c r="O968" s="874"/>
      <c r="P968" s="960"/>
      <c r="Q968" s="822"/>
      <c r="R968" s="961"/>
    </row>
    <row r="969" spans="1:18" s="444" customFormat="1" ht="36" customHeight="1">
      <c r="A969" s="672"/>
      <c r="B969" s="673"/>
      <c r="C969" s="965"/>
      <c r="D969" s="442"/>
      <c r="E969" s="966" t="s">
        <v>455</v>
      </c>
      <c r="F969" s="967"/>
      <c r="G969" s="967"/>
      <c r="H969" s="967">
        <v>0</v>
      </c>
      <c r="I969" s="704"/>
      <c r="J969" s="704"/>
      <c r="K969" s="532"/>
      <c r="L969" s="967"/>
      <c r="M969" s="967"/>
      <c r="N969" s="968">
        <v>0</v>
      </c>
      <c r="O969" s="874"/>
      <c r="P969" s="960"/>
      <c r="Q969" s="822"/>
      <c r="R969" s="961"/>
    </row>
    <row r="970" spans="1:18" s="444" customFormat="1" ht="54.75" customHeight="1">
      <c r="A970" s="672"/>
      <c r="B970" s="673"/>
      <c r="C970" s="965"/>
      <c r="D970" s="442"/>
      <c r="E970" s="966" t="s">
        <v>456</v>
      </c>
      <c r="F970" s="967"/>
      <c r="G970" s="967"/>
      <c r="H970" s="967">
        <v>0</v>
      </c>
      <c r="I970" s="704"/>
      <c r="J970" s="704"/>
      <c r="K970" s="532"/>
      <c r="L970" s="967"/>
      <c r="M970" s="967"/>
      <c r="N970" s="968">
        <v>0</v>
      </c>
      <c r="O970" s="874"/>
      <c r="P970" s="960"/>
      <c r="Q970" s="822"/>
      <c r="R970" s="961"/>
    </row>
    <row r="971" spans="1:18" s="444" customFormat="1" ht="36" customHeight="1">
      <c r="A971" s="672"/>
      <c r="B971" s="673"/>
      <c r="C971" s="965"/>
      <c r="D971" s="442"/>
      <c r="E971" s="966" t="s">
        <v>457</v>
      </c>
      <c r="F971" s="967"/>
      <c r="G971" s="967"/>
      <c r="H971" s="967">
        <v>0</v>
      </c>
      <c r="I971" s="704"/>
      <c r="J971" s="704"/>
      <c r="K971" s="532"/>
      <c r="L971" s="967"/>
      <c r="M971" s="967"/>
      <c r="N971" s="968">
        <v>0</v>
      </c>
      <c r="O971" s="874"/>
      <c r="P971" s="960"/>
      <c r="Q971" s="822"/>
      <c r="R971" s="961"/>
    </row>
    <row r="972" spans="1:18" s="444" customFormat="1" ht="54.75" customHeight="1">
      <c r="A972" s="672"/>
      <c r="B972" s="673"/>
      <c r="C972" s="965"/>
      <c r="D972" s="442"/>
      <c r="E972" s="966" t="s">
        <v>458</v>
      </c>
      <c r="F972" s="967"/>
      <c r="G972" s="967"/>
      <c r="H972" s="967">
        <v>0</v>
      </c>
      <c r="I972" s="704"/>
      <c r="J972" s="704"/>
      <c r="K972" s="532"/>
      <c r="L972" s="967"/>
      <c r="M972" s="967"/>
      <c r="N972" s="968">
        <v>0</v>
      </c>
      <c r="O972" s="874"/>
      <c r="P972" s="960"/>
      <c r="Q972" s="822"/>
      <c r="R972" s="961"/>
    </row>
    <row r="973" spans="1:18" s="444" customFormat="1" ht="36" customHeight="1">
      <c r="A973" s="672"/>
      <c r="B973" s="673"/>
      <c r="C973" s="965"/>
      <c r="D973" s="442"/>
      <c r="E973" s="966" t="s">
        <v>459</v>
      </c>
      <c r="F973" s="970"/>
      <c r="G973" s="970"/>
      <c r="H973" s="967">
        <v>32231.32</v>
      </c>
      <c r="I973" s="704"/>
      <c r="J973" s="704"/>
      <c r="K973" s="532"/>
      <c r="L973" s="970"/>
      <c r="M973" s="970"/>
      <c r="N973" s="968">
        <v>600.70000000000005</v>
      </c>
      <c r="O973" s="874"/>
      <c r="P973" s="960"/>
      <c r="Q973" s="822"/>
      <c r="R973" s="961"/>
    </row>
    <row r="974" spans="1:18" s="444" customFormat="1" ht="36" customHeight="1">
      <c r="A974" s="672"/>
      <c r="B974" s="673"/>
      <c r="C974" s="965"/>
      <c r="D974" s="442"/>
      <c r="E974" s="966" t="s">
        <v>460</v>
      </c>
      <c r="F974" s="970"/>
      <c r="G974" s="970"/>
      <c r="H974" s="967">
        <v>0</v>
      </c>
      <c r="I974" s="704"/>
      <c r="J974" s="704"/>
      <c r="K974" s="532"/>
      <c r="L974" s="970"/>
      <c r="M974" s="970"/>
      <c r="N974" s="968">
        <v>0</v>
      </c>
      <c r="O974" s="874"/>
      <c r="P974" s="960"/>
      <c r="Q974" s="822"/>
      <c r="R974" s="961"/>
    </row>
    <row r="975" spans="1:18" s="444" customFormat="1" ht="36" customHeight="1">
      <c r="A975" s="672"/>
      <c r="B975" s="673"/>
      <c r="C975" s="965"/>
      <c r="D975" s="442"/>
      <c r="E975" s="966" t="s">
        <v>461</v>
      </c>
      <c r="F975" s="970"/>
      <c r="G975" s="970"/>
      <c r="H975" s="967">
        <v>692</v>
      </c>
      <c r="I975" s="704"/>
      <c r="J975" s="704"/>
      <c r="K975" s="532"/>
      <c r="L975" s="970"/>
      <c r="M975" s="970"/>
      <c r="N975" s="968">
        <v>0</v>
      </c>
      <c r="O975" s="874"/>
      <c r="P975" s="960"/>
      <c r="Q975" s="822"/>
      <c r="R975" s="961"/>
    </row>
    <row r="976" spans="1:18" s="444" customFormat="1" ht="36" customHeight="1">
      <c r="A976" s="672"/>
      <c r="B976" s="673"/>
      <c r="C976" s="965"/>
      <c r="D976" s="442"/>
      <c r="E976" s="966" t="s">
        <v>462</v>
      </c>
      <c r="F976" s="970"/>
      <c r="G976" s="970"/>
      <c r="H976" s="967">
        <v>35817</v>
      </c>
      <c r="I976" s="704"/>
      <c r="J976" s="704"/>
      <c r="K976" s="532"/>
      <c r="L976" s="970"/>
      <c r="M976" s="970"/>
      <c r="N976" s="968">
        <v>4070</v>
      </c>
      <c r="O976" s="874"/>
      <c r="P976" s="960"/>
      <c r="Q976" s="822"/>
      <c r="R976" s="961"/>
    </row>
    <row r="977" spans="1:18" s="444" customFormat="1" ht="36" customHeight="1">
      <c r="A977" s="672"/>
      <c r="B977" s="673"/>
      <c r="C977" s="965"/>
      <c r="D977" s="442"/>
      <c r="E977" s="966" t="s">
        <v>463</v>
      </c>
      <c r="F977" s="970"/>
      <c r="G977" s="970"/>
      <c r="H977" s="967">
        <v>0</v>
      </c>
      <c r="I977" s="704"/>
      <c r="J977" s="704"/>
      <c r="K977" s="532"/>
      <c r="L977" s="970"/>
      <c r="M977" s="970"/>
      <c r="N977" s="968">
        <v>15955.56</v>
      </c>
      <c r="O977" s="874"/>
      <c r="P977" s="960"/>
      <c r="Q977" s="822"/>
      <c r="R977" s="961"/>
    </row>
    <row r="978" spans="1:18" s="444" customFormat="1" ht="36" customHeight="1">
      <c r="A978" s="672"/>
      <c r="B978" s="673"/>
      <c r="C978" s="965"/>
      <c r="D978" s="442"/>
      <c r="E978" s="966" t="s">
        <v>464</v>
      </c>
      <c r="F978" s="970"/>
      <c r="G978" s="970"/>
      <c r="H978" s="967">
        <v>0</v>
      </c>
      <c r="I978" s="704"/>
      <c r="J978" s="704"/>
      <c r="K978" s="532"/>
      <c r="L978" s="970"/>
      <c r="M978" s="970"/>
      <c r="N978" s="968">
        <v>1469.21</v>
      </c>
      <c r="O978" s="874"/>
      <c r="P978" s="960"/>
      <c r="Q978" s="822"/>
      <c r="R978" s="961"/>
    </row>
    <row r="979" spans="1:18" s="444" customFormat="1" ht="36" customHeight="1">
      <c r="A979" s="672"/>
      <c r="B979" s="673"/>
      <c r="C979" s="965"/>
      <c r="D979" s="442"/>
      <c r="E979" s="966" t="s">
        <v>465</v>
      </c>
      <c r="F979" s="970"/>
      <c r="G979" s="970"/>
      <c r="H979" s="967">
        <v>0</v>
      </c>
      <c r="I979" s="704"/>
      <c r="J979" s="704"/>
      <c r="K979" s="532"/>
      <c r="L979" s="970"/>
      <c r="M979" s="970"/>
      <c r="N979" s="968">
        <v>0</v>
      </c>
      <c r="O979" s="874"/>
      <c r="P979" s="960"/>
      <c r="Q979" s="822"/>
      <c r="R979" s="961"/>
    </row>
    <row r="980" spans="1:18" s="444" customFormat="1" ht="36" customHeight="1">
      <c r="A980" s="672"/>
      <c r="B980" s="673"/>
      <c r="C980" s="965"/>
      <c r="D980" s="442"/>
      <c r="E980" s="966" t="s">
        <v>466</v>
      </c>
      <c r="F980" s="970"/>
      <c r="G980" s="970"/>
      <c r="H980" s="967">
        <v>0</v>
      </c>
      <c r="I980" s="704"/>
      <c r="J980" s="704"/>
      <c r="K980" s="532"/>
      <c r="L980" s="970"/>
      <c r="M980" s="970"/>
      <c r="N980" s="968">
        <v>0</v>
      </c>
      <c r="O980" s="874"/>
      <c r="P980" s="960"/>
      <c r="Q980" s="822"/>
      <c r="R980" s="961"/>
    </row>
    <row r="981" spans="1:18" s="444" customFormat="1" ht="36" customHeight="1">
      <c r="A981" s="672"/>
      <c r="B981" s="673"/>
      <c r="C981" s="965"/>
      <c r="D981" s="442"/>
      <c r="E981" s="966" t="s">
        <v>492</v>
      </c>
      <c r="F981" s="970"/>
      <c r="G981" s="970"/>
      <c r="H981" s="967">
        <v>1674.81</v>
      </c>
      <c r="I981" s="704"/>
      <c r="J981" s="704"/>
      <c r="K981" s="532"/>
      <c r="L981" s="970"/>
      <c r="M981" s="970"/>
      <c r="N981" s="968">
        <v>99.58</v>
      </c>
      <c r="O981" s="874"/>
      <c r="P981" s="960"/>
      <c r="Q981" s="822"/>
      <c r="R981" s="961"/>
    </row>
    <row r="982" spans="1:18" s="444" customFormat="1" ht="57" customHeight="1">
      <c r="A982" s="672"/>
      <c r="B982" s="673"/>
      <c r="C982" s="965"/>
      <c r="D982" s="442"/>
      <c r="E982" s="950" t="s">
        <v>467</v>
      </c>
      <c r="F982" s="955">
        <v>117300</v>
      </c>
      <c r="G982" s="955">
        <v>111778</v>
      </c>
      <c r="H982" s="955">
        <v>74715.13</v>
      </c>
      <c r="I982" s="704"/>
      <c r="J982" s="704"/>
      <c r="K982" s="532"/>
      <c r="L982" s="955">
        <v>0</v>
      </c>
      <c r="M982" s="955">
        <v>0</v>
      </c>
      <c r="N982" s="955">
        <v>0</v>
      </c>
      <c r="O982" s="932">
        <v>0</v>
      </c>
      <c r="P982" s="960" t="s">
        <v>286</v>
      </c>
      <c r="Q982" s="822"/>
      <c r="R982" s="961"/>
    </row>
    <row r="983" spans="1:18" s="188" customFormat="1" ht="45" customHeight="1">
      <c r="A983" s="492"/>
      <c r="B983" s="178"/>
      <c r="C983" s="203">
        <v>4</v>
      </c>
      <c r="D983" s="468"/>
      <c r="E983" s="271" t="s">
        <v>48</v>
      </c>
      <c r="F983" s="528"/>
      <c r="G983" s="457"/>
      <c r="H983" s="457"/>
      <c r="I983" s="457"/>
      <c r="J983" s="460"/>
      <c r="K983" s="457">
        <f>298238+4500+6762+170000+7300+1200</f>
        <v>488000</v>
      </c>
      <c r="L983" s="457">
        <f>L984+L1003+L1025</f>
        <v>488000</v>
      </c>
      <c r="M983" s="457">
        <f t="shared" ref="M983:N983" si="134">M984+M1003+M1025</f>
        <v>489503</v>
      </c>
      <c r="N983" s="457">
        <f t="shared" si="134"/>
        <v>169901.07</v>
      </c>
      <c r="O983" s="877">
        <f>N983/M983</f>
        <v>0.34708892488912224</v>
      </c>
      <c r="P983" s="778" t="s">
        <v>286</v>
      </c>
    </row>
    <row r="984" spans="1:18" s="435" customFormat="1" ht="39.9" customHeight="1">
      <c r="A984" s="705"/>
      <c r="B984" s="949"/>
      <c r="C984" s="463"/>
      <c r="D984" s="448"/>
      <c r="E984" s="950" t="s">
        <v>435</v>
      </c>
      <c r="F984" s="951"/>
      <c r="G984" s="952"/>
      <c r="H984" s="952"/>
      <c r="I984" s="952"/>
      <c r="J984" s="953"/>
      <c r="K984" s="954"/>
      <c r="L984" s="955">
        <v>298238</v>
      </c>
      <c r="M984" s="955">
        <v>297976</v>
      </c>
      <c r="N984" s="956">
        <f>SUM(N986:N1002)</f>
        <v>135022.71</v>
      </c>
      <c r="O984" s="932">
        <f>N984/M984</f>
        <v>0.45313283620157324</v>
      </c>
      <c r="P984" s="957" t="s">
        <v>286</v>
      </c>
      <c r="Q984" s="823"/>
      <c r="R984" s="958"/>
    </row>
    <row r="985" spans="1:18" s="444" customFormat="1" ht="34.5" customHeight="1">
      <c r="A985" s="672"/>
      <c r="B985" s="673"/>
      <c r="C985" s="454"/>
      <c r="D985" s="442"/>
      <c r="E985" s="959" t="s">
        <v>16</v>
      </c>
      <c r="F985" s="703"/>
      <c r="G985" s="704"/>
      <c r="H985" s="704"/>
      <c r="I985" s="704"/>
      <c r="J985" s="704"/>
      <c r="K985" s="389"/>
      <c r="L985" s="666"/>
      <c r="M985" s="666"/>
      <c r="N985" s="666"/>
      <c r="O985" s="874"/>
      <c r="P985" s="960"/>
      <c r="Q985" s="822"/>
      <c r="R985" s="961"/>
    </row>
    <row r="986" spans="1:18" s="444" customFormat="1" ht="36" customHeight="1">
      <c r="A986" s="672"/>
      <c r="B986" s="673"/>
      <c r="C986" s="454"/>
      <c r="D986" s="429"/>
      <c r="E986" s="962" t="s">
        <v>476</v>
      </c>
      <c r="F986" s="703"/>
      <c r="G986" s="704"/>
      <c r="H986" s="704"/>
      <c r="I986" s="704"/>
      <c r="J986" s="704"/>
      <c r="K986" s="389"/>
      <c r="L986" s="963"/>
      <c r="M986" s="963"/>
      <c r="N986" s="964">
        <v>0</v>
      </c>
      <c r="O986" s="874"/>
      <c r="P986" s="960"/>
      <c r="Q986" s="822"/>
      <c r="R986" s="961"/>
    </row>
    <row r="987" spans="1:18" s="444" customFormat="1" ht="57" customHeight="1">
      <c r="A987" s="672"/>
      <c r="B987" s="673"/>
      <c r="C987" s="454"/>
      <c r="D987" s="442"/>
      <c r="E987" s="962" t="s">
        <v>469</v>
      </c>
      <c r="F987" s="703"/>
      <c r="G987" s="704"/>
      <c r="H987" s="704"/>
      <c r="I987" s="704"/>
      <c r="J987" s="704"/>
      <c r="K987" s="389"/>
      <c r="L987" s="963"/>
      <c r="M987" s="963"/>
      <c r="N987" s="964">
        <v>0</v>
      </c>
      <c r="O987" s="874"/>
      <c r="P987" s="960"/>
      <c r="Q987" s="822"/>
      <c r="R987" s="961"/>
    </row>
    <row r="988" spans="1:18" s="444" customFormat="1" ht="36" customHeight="1">
      <c r="A988" s="672"/>
      <c r="B988" s="673"/>
      <c r="C988" s="454"/>
      <c r="D988" s="442"/>
      <c r="E988" s="962" t="s">
        <v>477</v>
      </c>
      <c r="F988" s="703"/>
      <c r="G988" s="704"/>
      <c r="H988" s="704"/>
      <c r="I988" s="704"/>
      <c r="J988" s="704"/>
      <c r="K988" s="389"/>
      <c r="L988" s="963"/>
      <c r="M988" s="963"/>
      <c r="N988" s="964">
        <v>0</v>
      </c>
      <c r="O988" s="874"/>
      <c r="P988" s="960"/>
      <c r="Q988" s="822"/>
      <c r="R988" s="961"/>
    </row>
    <row r="989" spans="1:18" s="444" customFormat="1" ht="36" customHeight="1">
      <c r="A989" s="672"/>
      <c r="B989" s="673"/>
      <c r="C989" s="454"/>
      <c r="D989" s="442"/>
      <c r="E989" s="962" t="s">
        <v>478</v>
      </c>
      <c r="F989" s="703"/>
      <c r="G989" s="704"/>
      <c r="H989" s="704"/>
      <c r="I989" s="704"/>
      <c r="J989" s="704"/>
      <c r="K989" s="389"/>
      <c r="L989" s="963"/>
      <c r="M989" s="963"/>
      <c r="N989" s="964">
        <v>0</v>
      </c>
      <c r="O989" s="874"/>
      <c r="P989" s="960"/>
      <c r="Q989" s="822"/>
      <c r="R989" s="961"/>
    </row>
    <row r="990" spans="1:18" s="444" customFormat="1" ht="36" customHeight="1">
      <c r="A990" s="672"/>
      <c r="B990" s="673"/>
      <c r="C990" s="454"/>
      <c r="D990" s="442"/>
      <c r="E990" s="962" t="s">
        <v>479</v>
      </c>
      <c r="F990" s="703"/>
      <c r="G990" s="704"/>
      <c r="H990" s="704"/>
      <c r="I990" s="704"/>
      <c r="J990" s="704"/>
      <c r="K990" s="389"/>
      <c r="L990" s="963"/>
      <c r="M990" s="963"/>
      <c r="N990" s="964">
        <v>0</v>
      </c>
      <c r="O990" s="874"/>
      <c r="P990" s="960"/>
      <c r="Q990" s="822"/>
      <c r="R990" s="961"/>
    </row>
    <row r="991" spans="1:18" s="444" customFormat="1" ht="36" customHeight="1">
      <c r="A991" s="672"/>
      <c r="B991" s="673"/>
      <c r="C991" s="454"/>
      <c r="D991" s="442"/>
      <c r="E991" s="962" t="s">
        <v>437</v>
      </c>
      <c r="F991" s="703"/>
      <c r="G991" s="704"/>
      <c r="H991" s="704"/>
      <c r="I991" s="704"/>
      <c r="J991" s="704"/>
      <c r="K991" s="389"/>
      <c r="L991" s="963"/>
      <c r="M991" s="963"/>
      <c r="N991" s="964">
        <v>0</v>
      </c>
      <c r="O991" s="874"/>
      <c r="P991" s="960"/>
      <c r="Q991" s="822"/>
      <c r="R991" s="961"/>
    </row>
    <row r="992" spans="1:18" s="444" customFormat="1" ht="36" customHeight="1">
      <c r="A992" s="672"/>
      <c r="B992" s="673"/>
      <c r="C992" s="454"/>
      <c r="D992" s="442"/>
      <c r="E992" s="962" t="s">
        <v>438</v>
      </c>
      <c r="F992" s="703"/>
      <c r="G992" s="704"/>
      <c r="H992" s="704"/>
      <c r="I992" s="704"/>
      <c r="J992" s="704"/>
      <c r="K992" s="389"/>
      <c r="L992" s="963"/>
      <c r="M992" s="963"/>
      <c r="N992" s="964">
        <v>0</v>
      </c>
      <c r="O992" s="874"/>
      <c r="P992" s="960"/>
      <c r="Q992" s="822"/>
      <c r="R992" s="961"/>
    </row>
    <row r="993" spans="1:18" s="444" customFormat="1" ht="36" customHeight="1">
      <c r="A993" s="672"/>
      <c r="B993" s="673"/>
      <c r="C993" s="454"/>
      <c r="D993" s="442"/>
      <c r="E993" s="962" t="s">
        <v>480</v>
      </c>
      <c r="F993" s="703"/>
      <c r="G993" s="704"/>
      <c r="H993" s="704"/>
      <c r="I993" s="704"/>
      <c r="J993" s="704"/>
      <c r="K993" s="389"/>
      <c r="L993" s="963"/>
      <c r="M993" s="963"/>
      <c r="N993" s="964">
        <v>0</v>
      </c>
      <c r="O993" s="874"/>
      <c r="P993" s="960"/>
      <c r="Q993" s="822"/>
      <c r="R993" s="961"/>
    </row>
    <row r="994" spans="1:18" s="444" customFormat="1" ht="36" customHeight="1">
      <c r="A994" s="672"/>
      <c r="B994" s="673"/>
      <c r="C994" s="454"/>
      <c r="D994" s="442"/>
      <c r="E994" s="962" t="s">
        <v>439</v>
      </c>
      <c r="F994" s="703"/>
      <c r="G994" s="704"/>
      <c r="H994" s="704"/>
      <c r="I994" s="704"/>
      <c r="J994" s="704"/>
      <c r="K994" s="389"/>
      <c r="L994" s="963"/>
      <c r="M994" s="963"/>
      <c r="N994" s="964">
        <v>0</v>
      </c>
      <c r="O994" s="874"/>
      <c r="P994" s="960"/>
      <c r="Q994" s="822"/>
      <c r="R994" s="961"/>
    </row>
    <row r="995" spans="1:18" s="444" customFormat="1" ht="36" customHeight="1">
      <c r="A995" s="672"/>
      <c r="B995" s="673"/>
      <c r="C995" s="454"/>
      <c r="D995" s="442"/>
      <c r="E995" s="962" t="s">
        <v>440</v>
      </c>
      <c r="F995" s="703"/>
      <c r="G995" s="704"/>
      <c r="H995" s="704"/>
      <c r="I995" s="704"/>
      <c r="J995" s="704"/>
      <c r="K995" s="389"/>
      <c r="L995" s="963"/>
      <c r="M995" s="963"/>
      <c r="N995" s="964">
        <v>0</v>
      </c>
      <c r="O995" s="874"/>
      <c r="P995" s="960"/>
      <c r="Q995" s="822"/>
      <c r="R995" s="961"/>
    </row>
    <row r="996" spans="1:18" s="444" customFormat="1" ht="36" customHeight="1">
      <c r="A996" s="672"/>
      <c r="B996" s="673"/>
      <c r="C996" s="454"/>
      <c r="D996" s="442"/>
      <c r="E996" s="962" t="s">
        <v>441</v>
      </c>
      <c r="F996" s="703"/>
      <c r="G996" s="704"/>
      <c r="H996" s="704"/>
      <c r="I996" s="704"/>
      <c r="J996" s="704"/>
      <c r="K996" s="389"/>
      <c r="L996" s="963"/>
      <c r="M996" s="963"/>
      <c r="N996" s="964">
        <v>0</v>
      </c>
      <c r="O996" s="874"/>
      <c r="P996" s="960"/>
      <c r="Q996" s="822"/>
      <c r="R996" s="961"/>
    </row>
    <row r="997" spans="1:18" s="444" customFormat="1" ht="36" customHeight="1">
      <c r="A997" s="672"/>
      <c r="B997" s="673"/>
      <c r="C997" s="454"/>
      <c r="D997" s="442"/>
      <c r="E997" s="962" t="s">
        <v>528</v>
      </c>
      <c r="F997" s="703"/>
      <c r="G997" s="704"/>
      <c r="H997" s="704"/>
      <c r="I997" s="704"/>
      <c r="J997" s="704"/>
      <c r="K997" s="389"/>
      <c r="L997" s="963"/>
      <c r="M997" s="963"/>
      <c r="N997" s="964">
        <v>100654.84</v>
      </c>
      <c r="O997" s="874"/>
      <c r="P997" s="960"/>
      <c r="Q997" s="822"/>
      <c r="R997" s="961"/>
    </row>
    <row r="998" spans="1:18" s="444" customFormat="1" ht="36" customHeight="1">
      <c r="A998" s="672"/>
      <c r="B998" s="673"/>
      <c r="C998" s="454"/>
      <c r="D998" s="442"/>
      <c r="E998" s="962" t="s">
        <v>442</v>
      </c>
      <c r="F998" s="703"/>
      <c r="G998" s="704"/>
      <c r="H998" s="704"/>
      <c r="I998" s="704"/>
      <c r="J998" s="704"/>
      <c r="K998" s="389"/>
      <c r="L998" s="963"/>
      <c r="M998" s="963"/>
      <c r="N998" s="964">
        <v>0</v>
      </c>
      <c r="O998" s="874"/>
      <c r="P998" s="960"/>
      <c r="Q998" s="822"/>
      <c r="R998" s="961"/>
    </row>
    <row r="999" spans="1:18" s="444" customFormat="1" ht="36" customHeight="1">
      <c r="A999" s="672"/>
      <c r="B999" s="673"/>
      <c r="C999" s="454"/>
      <c r="D999" s="442"/>
      <c r="E999" s="962" t="s">
        <v>443</v>
      </c>
      <c r="F999" s="703"/>
      <c r="G999" s="704"/>
      <c r="H999" s="704"/>
      <c r="I999" s="704"/>
      <c r="J999" s="704"/>
      <c r="K999" s="389"/>
      <c r="L999" s="963"/>
      <c r="M999" s="963"/>
      <c r="N999" s="964">
        <v>14197.62</v>
      </c>
      <c r="O999" s="874"/>
      <c r="P999" s="960"/>
      <c r="Q999" s="822"/>
      <c r="R999" s="961"/>
    </row>
    <row r="1000" spans="1:18" s="444" customFormat="1" ht="36" customHeight="1">
      <c r="A1000" s="672"/>
      <c r="B1000" s="673"/>
      <c r="C1000" s="454"/>
      <c r="D1000" s="442"/>
      <c r="E1000" s="962" t="s">
        <v>482</v>
      </c>
      <c r="F1000" s="703"/>
      <c r="G1000" s="704"/>
      <c r="H1000" s="704"/>
      <c r="I1000" s="704"/>
      <c r="J1000" s="704"/>
      <c r="K1000" s="389"/>
      <c r="L1000" s="963"/>
      <c r="M1000" s="963"/>
      <c r="N1000" s="964">
        <v>0</v>
      </c>
      <c r="O1000" s="874"/>
      <c r="P1000" s="960"/>
      <c r="Q1000" s="822"/>
      <c r="R1000" s="961"/>
    </row>
    <row r="1001" spans="1:18" s="444" customFormat="1" ht="36" customHeight="1">
      <c r="A1001" s="672"/>
      <c r="B1001" s="673"/>
      <c r="C1001" s="454"/>
      <c r="D1001" s="442"/>
      <c r="E1001" s="962" t="s">
        <v>529</v>
      </c>
      <c r="F1001" s="703"/>
      <c r="G1001" s="704"/>
      <c r="H1001" s="704"/>
      <c r="I1001" s="704"/>
      <c r="J1001" s="704"/>
      <c r="K1001" s="389"/>
      <c r="L1001" s="963"/>
      <c r="M1001" s="963"/>
      <c r="N1001" s="964">
        <v>1740.38</v>
      </c>
      <c r="O1001" s="874"/>
      <c r="P1001" s="960"/>
      <c r="Q1001" s="822"/>
      <c r="R1001" s="961"/>
    </row>
    <row r="1002" spans="1:18" s="444" customFormat="1" ht="36" customHeight="1">
      <c r="A1002" s="672"/>
      <c r="B1002" s="673"/>
      <c r="C1002" s="454"/>
      <c r="D1002" s="442"/>
      <c r="E1002" s="962" t="s">
        <v>445</v>
      </c>
      <c r="F1002" s="703"/>
      <c r="G1002" s="704"/>
      <c r="H1002" s="704"/>
      <c r="I1002" s="704"/>
      <c r="J1002" s="704"/>
      <c r="K1002" s="389"/>
      <c r="L1002" s="963"/>
      <c r="M1002" s="963"/>
      <c r="N1002" s="964">
        <v>18429.87</v>
      </c>
      <c r="O1002" s="874"/>
      <c r="P1002" s="960"/>
      <c r="Q1002" s="822"/>
      <c r="R1002" s="961"/>
    </row>
    <row r="1003" spans="1:18" s="444" customFormat="1" ht="57" customHeight="1">
      <c r="A1003" s="672"/>
      <c r="B1003" s="673"/>
      <c r="C1003" s="965"/>
      <c r="D1003" s="442"/>
      <c r="E1003" s="950" t="s">
        <v>446</v>
      </c>
      <c r="F1003" s="955">
        <v>117300</v>
      </c>
      <c r="G1003" s="955">
        <v>111778</v>
      </c>
      <c r="H1003" s="955">
        <v>74715.13</v>
      </c>
      <c r="I1003" s="704"/>
      <c r="J1003" s="704"/>
      <c r="K1003" s="532"/>
      <c r="L1003" s="955">
        <v>189762</v>
      </c>
      <c r="M1003" s="955">
        <v>191527</v>
      </c>
      <c r="N1003" s="956">
        <f>SUM(N1004:N1024)</f>
        <v>34878.36</v>
      </c>
      <c r="O1003" s="932">
        <f>N1003/M1003</f>
        <v>0.18210675257274431</v>
      </c>
      <c r="P1003" s="960" t="s">
        <v>286</v>
      </c>
      <c r="Q1003" s="822"/>
      <c r="R1003" s="961"/>
    </row>
    <row r="1004" spans="1:18" s="444" customFormat="1" ht="82.5" customHeight="1">
      <c r="A1004" s="672"/>
      <c r="B1004" s="673"/>
      <c r="C1004" s="965"/>
      <c r="D1004" s="442"/>
      <c r="E1004" s="966" t="s">
        <v>447</v>
      </c>
      <c r="F1004" s="967"/>
      <c r="G1004" s="967"/>
      <c r="H1004" s="967">
        <v>0</v>
      </c>
      <c r="I1004" s="704"/>
      <c r="J1004" s="704"/>
      <c r="K1004" s="532"/>
      <c r="L1004" s="967"/>
      <c r="M1004" s="967"/>
      <c r="N1004" s="968">
        <v>61.44</v>
      </c>
      <c r="O1004" s="874"/>
      <c r="P1004" s="960"/>
      <c r="Q1004" s="822"/>
      <c r="R1004" s="961"/>
    </row>
    <row r="1005" spans="1:18" s="444" customFormat="1" ht="36" customHeight="1">
      <c r="A1005" s="672"/>
      <c r="B1005" s="673"/>
      <c r="C1005" s="965"/>
      <c r="D1005" s="442"/>
      <c r="E1005" s="966" t="s">
        <v>448</v>
      </c>
      <c r="F1005" s="967"/>
      <c r="G1005" s="967"/>
      <c r="H1005" s="967">
        <v>0</v>
      </c>
      <c r="I1005" s="704"/>
      <c r="J1005" s="704"/>
      <c r="K1005" s="532"/>
      <c r="L1005" s="967"/>
      <c r="M1005" s="967"/>
      <c r="N1005" s="968">
        <v>0</v>
      </c>
      <c r="O1005" s="874"/>
      <c r="P1005" s="960"/>
      <c r="Q1005" s="822"/>
      <c r="R1005" s="961"/>
    </row>
    <row r="1006" spans="1:18" s="444" customFormat="1" ht="36" customHeight="1">
      <c r="A1006" s="672"/>
      <c r="B1006" s="673"/>
      <c r="C1006" s="965"/>
      <c r="D1006" s="442"/>
      <c r="E1006" s="966" t="s">
        <v>449</v>
      </c>
      <c r="F1006" s="967"/>
      <c r="G1006" s="967"/>
      <c r="H1006" s="967">
        <v>0</v>
      </c>
      <c r="I1006" s="704"/>
      <c r="J1006" s="704"/>
      <c r="K1006" s="532"/>
      <c r="L1006" s="967"/>
      <c r="M1006" s="967"/>
      <c r="N1006" s="968">
        <v>0</v>
      </c>
      <c r="O1006" s="874"/>
      <c r="P1006" s="960"/>
      <c r="Q1006" s="822"/>
      <c r="R1006" s="961"/>
    </row>
    <row r="1007" spans="1:18" s="444" customFormat="1" ht="36" customHeight="1">
      <c r="A1007" s="672"/>
      <c r="B1007" s="673"/>
      <c r="C1007" s="965"/>
      <c r="D1007" s="442"/>
      <c r="E1007" s="966" t="s">
        <v>450</v>
      </c>
      <c r="F1007" s="967"/>
      <c r="G1007" s="967"/>
      <c r="H1007" s="967">
        <v>0</v>
      </c>
      <c r="I1007" s="704"/>
      <c r="J1007" s="704"/>
      <c r="K1007" s="532"/>
      <c r="L1007" s="967"/>
      <c r="M1007" s="967"/>
      <c r="N1007" s="968">
        <v>0</v>
      </c>
      <c r="O1007" s="874"/>
      <c r="P1007" s="960"/>
      <c r="Q1007" s="822"/>
      <c r="R1007" s="961"/>
    </row>
    <row r="1008" spans="1:18" s="444" customFormat="1" ht="36" customHeight="1">
      <c r="A1008" s="672"/>
      <c r="B1008" s="673"/>
      <c r="C1008" s="965"/>
      <c r="D1008" s="442"/>
      <c r="E1008" s="966" t="s">
        <v>451</v>
      </c>
      <c r="F1008" s="967"/>
      <c r="G1008" s="967"/>
      <c r="H1008" s="967">
        <v>0</v>
      </c>
      <c r="I1008" s="704"/>
      <c r="J1008" s="704"/>
      <c r="K1008" s="532"/>
      <c r="L1008" s="967"/>
      <c r="M1008" s="967"/>
      <c r="N1008" s="968">
        <v>0</v>
      </c>
      <c r="O1008" s="874"/>
      <c r="P1008" s="960"/>
      <c r="Q1008" s="822"/>
      <c r="R1008" s="961"/>
    </row>
    <row r="1009" spans="1:18" s="444" customFormat="1" ht="38.25" customHeight="1">
      <c r="A1009" s="672"/>
      <c r="B1009" s="673"/>
      <c r="C1009" s="965"/>
      <c r="D1009" s="442"/>
      <c r="E1009" s="969" t="s">
        <v>518</v>
      </c>
      <c r="F1009" s="967"/>
      <c r="G1009" s="967"/>
      <c r="H1009" s="967">
        <v>4300</v>
      </c>
      <c r="I1009" s="704"/>
      <c r="J1009" s="704"/>
      <c r="K1009" s="532"/>
      <c r="L1009" s="967"/>
      <c r="M1009" s="967"/>
      <c r="N1009" s="968">
        <v>0</v>
      </c>
      <c r="O1009" s="874"/>
      <c r="P1009" s="960"/>
      <c r="Q1009" s="822"/>
      <c r="R1009" s="961"/>
    </row>
    <row r="1010" spans="1:18" s="444" customFormat="1" ht="84" customHeight="1">
      <c r="A1010" s="672"/>
      <c r="B1010" s="673"/>
      <c r="C1010" s="965"/>
      <c r="D1010" s="442"/>
      <c r="E1010" s="966" t="s">
        <v>453</v>
      </c>
      <c r="F1010" s="967"/>
      <c r="G1010" s="967"/>
      <c r="H1010" s="967">
        <v>0</v>
      </c>
      <c r="I1010" s="704"/>
      <c r="J1010" s="704"/>
      <c r="K1010" s="532"/>
      <c r="L1010" s="967"/>
      <c r="M1010" s="967"/>
      <c r="N1010" s="968">
        <v>0</v>
      </c>
      <c r="O1010" s="874"/>
      <c r="P1010" s="960"/>
      <c r="Q1010" s="822"/>
      <c r="R1010" s="961"/>
    </row>
    <row r="1011" spans="1:18" s="444" customFormat="1" ht="61.5" customHeight="1">
      <c r="A1011" s="672"/>
      <c r="B1011" s="673"/>
      <c r="C1011" s="965"/>
      <c r="D1011" s="442"/>
      <c r="E1011" s="966" t="s">
        <v>454</v>
      </c>
      <c r="F1011" s="967"/>
      <c r="G1011" s="967"/>
      <c r="H1011" s="967">
        <v>0</v>
      </c>
      <c r="I1011" s="704"/>
      <c r="J1011" s="704"/>
      <c r="K1011" s="532"/>
      <c r="L1011" s="967"/>
      <c r="M1011" s="967"/>
      <c r="N1011" s="968">
        <v>0</v>
      </c>
      <c r="O1011" s="874"/>
      <c r="P1011" s="960"/>
      <c r="Q1011" s="822"/>
      <c r="R1011" s="961"/>
    </row>
    <row r="1012" spans="1:18" s="444" customFormat="1" ht="36" customHeight="1">
      <c r="A1012" s="672"/>
      <c r="B1012" s="673"/>
      <c r="C1012" s="965"/>
      <c r="D1012" s="442"/>
      <c r="E1012" s="966" t="s">
        <v>455</v>
      </c>
      <c r="F1012" s="967"/>
      <c r="G1012" s="967"/>
      <c r="H1012" s="967">
        <v>0</v>
      </c>
      <c r="I1012" s="704"/>
      <c r="J1012" s="704"/>
      <c r="K1012" s="532"/>
      <c r="L1012" s="967"/>
      <c r="M1012" s="967"/>
      <c r="N1012" s="968">
        <v>0</v>
      </c>
      <c r="O1012" s="874"/>
      <c r="P1012" s="960"/>
      <c r="Q1012" s="822"/>
      <c r="R1012" s="961"/>
    </row>
    <row r="1013" spans="1:18" s="444" customFormat="1" ht="54.75" customHeight="1">
      <c r="A1013" s="672"/>
      <c r="B1013" s="673"/>
      <c r="C1013" s="965"/>
      <c r="D1013" s="442"/>
      <c r="E1013" s="966" t="s">
        <v>456</v>
      </c>
      <c r="F1013" s="967"/>
      <c r="G1013" s="967"/>
      <c r="H1013" s="967">
        <v>0</v>
      </c>
      <c r="I1013" s="704"/>
      <c r="J1013" s="704"/>
      <c r="K1013" s="532"/>
      <c r="L1013" s="967"/>
      <c r="M1013" s="967"/>
      <c r="N1013" s="968">
        <v>0</v>
      </c>
      <c r="O1013" s="874"/>
      <c r="P1013" s="960"/>
      <c r="Q1013" s="822"/>
      <c r="R1013" s="961"/>
    </row>
    <row r="1014" spans="1:18" s="444" customFormat="1" ht="36" customHeight="1">
      <c r="A1014" s="672"/>
      <c r="B1014" s="673"/>
      <c r="C1014" s="965"/>
      <c r="D1014" s="442"/>
      <c r="E1014" s="966" t="s">
        <v>457</v>
      </c>
      <c r="F1014" s="967"/>
      <c r="G1014" s="967"/>
      <c r="H1014" s="967">
        <v>0</v>
      </c>
      <c r="I1014" s="704"/>
      <c r="J1014" s="704"/>
      <c r="K1014" s="532"/>
      <c r="L1014" s="967"/>
      <c r="M1014" s="967"/>
      <c r="N1014" s="968">
        <v>0</v>
      </c>
      <c r="O1014" s="874"/>
      <c r="P1014" s="960"/>
      <c r="Q1014" s="822"/>
      <c r="R1014" s="961"/>
    </row>
    <row r="1015" spans="1:18" s="444" customFormat="1" ht="54.75" customHeight="1">
      <c r="A1015" s="672"/>
      <c r="B1015" s="673"/>
      <c r="C1015" s="965"/>
      <c r="D1015" s="442"/>
      <c r="E1015" s="966" t="s">
        <v>458</v>
      </c>
      <c r="F1015" s="967"/>
      <c r="G1015" s="967"/>
      <c r="H1015" s="967">
        <v>0</v>
      </c>
      <c r="I1015" s="704"/>
      <c r="J1015" s="704"/>
      <c r="K1015" s="532"/>
      <c r="L1015" s="967"/>
      <c r="M1015" s="967"/>
      <c r="N1015" s="968">
        <v>0</v>
      </c>
      <c r="O1015" s="874"/>
      <c r="P1015" s="960"/>
      <c r="Q1015" s="822"/>
      <c r="R1015" s="961"/>
    </row>
    <row r="1016" spans="1:18" s="444" customFormat="1" ht="36" customHeight="1">
      <c r="A1016" s="672"/>
      <c r="B1016" s="673"/>
      <c r="C1016" s="965"/>
      <c r="D1016" s="442"/>
      <c r="E1016" s="966" t="s">
        <v>459</v>
      </c>
      <c r="F1016" s="970"/>
      <c r="G1016" s="970"/>
      <c r="H1016" s="967">
        <v>32231.32</v>
      </c>
      <c r="I1016" s="704"/>
      <c r="J1016" s="704"/>
      <c r="K1016" s="532"/>
      <c r="L1016" s="970"/>
      <c r="M1016" s="970"/>
      <c r="N1016" s="968">
        <v>1300.52</v>
      </c>
      <c r="O1016" s="874"/>
      <c r="P1016" s="960"/>
      <c r="Q1016" s="822"/>
      <c r="R1016" s="961"/>
    </row>
    <row r="1017" spans="1:18" s="444" customFormat="1" ht="36" customHeight="1">
      <c r="A1017" s="672"/>
      <c r="B1017" s="673"/>
      <c r="C1017" s="965"/>
      <c r="D1017" s="442"/>
      <c r="E1017" s="966" t="s">
        <v>460</v>
      </c>
      <c r="F1017" s="970"/>
      <c r="G1017" s="970"/>
      <c r="H1017" s="967">
        <v>0</v>
      </c>
      <c r="I1017" s="704"/>
      <c r="J1017" s="704"/>
      <c r="K1017" s="532"/>
      <c r="L1017" s="970"/>
      <c r="M1017" s="970"/>
      <c r="N1017" s="968">
        <v>0</v>
      </c>
      <c r="O1017" s="874"/>
      <c r="P1017" s="960"/>
      <c r="Q1017" s="822"/>
      <c r="R1017" s="961"/>
    </row>
    <row r="1018" spans="1:18" s="444" customFormat="1" ht="36" customHeight="1">
      <c r="A1018" s="672"/>
      <c r="B1018" s="673"/>
      <c r="C1018" s="965"/>
      <c r="D1018" s="442"/>
      <c r="E1018" s="966" t="s">
        <v>461</v>
      </c>
      <c r="F1018" s="970"/>
      <c r="G1018" s="970"/>
      <c r="H1018" s="967">
        <v>692</v>
      </c>
      <c r="I1018" s="704"/>
      <c r="J1018" s="704"/>
      <c r="K1018" s="532"/>
      <c r="L1018" s="970"/>
      <c r="M1018" s="970"/>
      <c r="N1018" s="968">
        <v>0</v>
      </c>
      <c r="O1018" s="874"/>
      <c r="P1018" s="960"/>
      <c r="Q1018" s="822"/>
      <c r="R1018" s="961"/>
    </row>
    <row r="1019" spans="1:18" s="444" customFormat="1" ht="36" customHeight="1">
      <c r="A1019" s="672"/>
      <c r="B1019" s="673"/>
      <c r="C1019" s="965"/>
      <c r="D1019" s="442"/>
      <c r="E1019" s="966" t="s">
        <v>462</v>
      </c>
      <c r="F1019" s="970"/>
      <c r="G1019" s="970"/>
      <c r="H1019" s="967">
        <v>35817</v>
      </c>
      <c r="I1019" s="704"/>
      <c r="J1019" s="704"/>
      <c r="K1019" s="532"/>
      <c r="L1019" s="970"/>
      <c r="M1019" s="970"/>
      <c r="N1019" s="968">
        <v>6396</v>
      </c>
      <c r="O1019" s="874"/>
      <c r="P1019" s="960"/>
      <c r="Q1019" s="822"/>
      <c r="R1019" s="961"/>
    </row>
    <row r="1020" spans="1:18" s="444" customFormat="1" ht="36" customHeight="1">
      <c r="A1020" s="672"/>
      <c r="B1020" s="673"/>
      <c r="C1020" s="965"/>
      <c r="D1020" s="442"/>
      <c r="E1020" s="966" t="s">
        <v>463</v>
      </c>
      <c r="F1020" s="970"/>
      <c r="G1020" s="970"/>
      <c r="H1020" s="967">
        <v>0</v>
      </c>
      <c r="I1020" s="704"/>
      <c r="J1020" s="704"/>
      <c r="K1020" s="532"/>
      <c r="L1020" s="970"/>
      <c r="M1020" s="970"/>
      <c r="N1020" s="968">
        <v>26783.47</v>
      </c>
      <c r="O1020" s="874"/>
      <c r="P1020" s="960"/>
      <c r="Q1020" s="822"/>
      <c r="R1020" s="961"/>
    </row>
    <row r="1021" spans="1:18" s="444" customFormat="1" ht="36" customHeight="1">
      <c r="A1021" s="672"/>
      <c r="B1021" s="673"/>
      <c r="C1021" s="965"/>
      <c r="D1021" s="442"/>
      <c r="E1021" s="966" t="s">
        <v>464</v>
      </c>
      <c r="F1021" s="970"/>
      <c r="G1021" s="970"/>
      <c r="H1021" s="967">
        <v>0</v>
      </c>
      <c r="I1021" s="704"/>
      <c r="J1021" s="704"/>
      <c r="K1021" s="532"/>
      <c r="L1021" s="970"/>
      <c r="M1021" s="970"/>
      <c r="N1021" s="968">
        <v>0</v>
      </c>
      <c r="O1021" s="874"/>
      <c r="P1021" s="960"/>
      <c r="Q1021" s="822"/>
      <c r="R1021" s="961"/>
    </row>
    <row r="1022" spans="1:18" s="444" customFormat="1" ht="36" customHeight="1">
      <c r="A1022" s="672"/>
      <c r="B1022" s="673"/>
      <c r="C1022" s="965"/>
      <c r="D1022" s="442"/>
      <c r="E1022" s="966" t="s">
        <v>465</v>
      </c>
      <c r="F1022" s="970"/>
      <c r="G1022" s="970"/>
      <c r="H1022" s="967">
        <v>0</v>
      </c>
      <c r="I1022" s="704"/>
      <c r="J1022" s="704"/>
      <c r="K1022" s="532"/>
      <c r="L1022" s="970"/>
      <c r="M1022" s="970"/>
      <c r="N1022" s="968">
        <v>0</v>
      </c>
      <c r="O1022" s="874"/>
      <c r="P1022" s="960"/>
      <c r="Q1022" s="822"/>
      <c r="R1022" s="961"/>
    </row>
    <row r="1023" spans="1:18" s="444" customFormat="1" ht="36" customHeight="1">
      <c r="A1023" s="672"/>
      <c r="B1023" s="673"/>
      <c r="C1023" s="965"/>
      <c r="D1023" s="442"/>
      <c r="E1023" s="966" t="s">
        <v>466</v>
      </c>
      <c r="F1023" s="970"/>
      <c r="G1023" s="970"/>
      <c r="H1023" s="967">
        <v>0</v>
      </c>
      <c r="I1023" s="704"/>
      <c r="J1023" s="704"/>
      <c r="K1023" s="532"/>
      <c r="L1023" s="970"/>
      <c r="M1023" s="970"/>
      <c r="N1023" s="968">
        <v>0</v>
      </c>
      <c r="O1023" s="874"/>
      <c r="P1023" s="960"/>
      <c r="Q1023" s="822"/>
      <c r="R1023" s="961"/>
    </row>
    <row r="1024" spans="1:18" s="444" customFormat="1" ht="36" customHeight="1">
      <c r="A1024" s="672"/>
      <c r="B1024" s="673"/>
      <c r="C1024" s="965"/>
      <c r="D1024" s="442"/>
      <c r="E1024" s="966" t="s">
        <v>492</v>
      </c>
      <c r="F1024" s="970"/>
      <c r="G1024" s="970"/>
      <c r="H1024" s="967">
        <v>1674.81</v>
      </c>
      <c r="I1024" s="704"/>
      <c r="J1024" s="704"/>
      <c r="K1024" s="532"/>
      <c r="L1024" s="970"/>
      <c r="M1024" s="970"/>
      <c r="N1024" s="968">
        <v>336.93</v>
      </c>
      <c r="O1024" s="874"/>
      <c r="P1024" s="960"/>
      <c r="Q1024" s="822"/>
      <c r="R1024" s="961"/>
    </row>
    <row r="1025" spans="1:18" s="444" customFormat="1" ht="57" customHeight="1">
      <c r="A1025" s="672"/>
      <c r="B1025" s="673"/>
      <c r="C1025" s="965"/>
      <c r="D1025" s="442"/>
      <c r="E1025" s="950" t="s">
        <v>467</v>
      </c>
      <c r="F1025" s="955">
        <v>117300</v>
      </c>
      <c r="G1025" s="955">
        <v>111778</v>
      </c>
      <c r="H1025" s="955">
        <v>74715.13</v>
      </c>
      <c r="I1025" s="704"/>
      <c r="J1025" s="704"/>
      <c r="K1025" s="532"/>
      <c r="L1025" s="955">
        <v>0</v>
      </c>
      <c r="M1025" s="955">
        <v>0</v>
      </c>
      <c r="N1025" s="955">
        <v>0</v>
      </c>
      <c r="O1025" s="932">
        <v>0</v>
      </c>
      <c r="P1025" s="960" t="s">
        <v>286</v>
      </c>
      <c r="Q1025" s="822"/>
      <c r="R1025" s="961"/>
    </row>
    <row r="1026" spans="1:18" s="275" customFormat="1" ht="116.25" customHeight="1">
      <c r="A1026" s="433"/>
      <c r="B1026" s="78">
        <v>80149</v>
      </c>
      <c r="C1026" s="77"/>
      <c r="D1026" s="181"/>
      <c r="E1026" s="180" t="s">
        <v>195</v>
      </c>
      <c r="F1026" s="414">
        <f>F1072</f>
        <v>0</v>
      </c>
      <c r="G1026" s="95">
        <f>G1072</f>
        <v>0</v>
      </c>
      <c r="H1026" s="95">
        <f>H1072</f>
        <v>0</v>
      </c>
      <c r="I1026" s="95">
        <f>I1072</f>
        <v>0</v>
      </c>
      <c r="J1026" s="95">
        <f>J1072</f>
        <v>0</v>
      </c>
      <c r="K1026" s="95">
        <f>K1071+K1027+K1201+K1202+K1203+K1204</f>
        <v>1741184</v>
      </c>
      <c r="L1026" s="95">
        <f>L1071+L1027+L1201+L1202+L1203+L1204</f>
        <v>1741184</v>
      </c>
      <c r="M1026" s="95">
        <f>M1027+M1071+M1201+M1202+M1203+M1204</f>
        <v>1828970</v>
      </c>
      <c r="N1026" s="95">
        <f>N1027+N1071+N1201+N1202+N1203+N1204</f>
        <v>1193740.98</v>
      </c>
      <c r="O1026" s="868">
        <f>N1026/M1026</f>
        <v>0.65268483354018925</v>
      </c>
      <c r="P1026" s="780" t="s">
        <v>286</v>
      </c>
    </row>
    <row r="1027" spans="1:18" s="198" customFormat="1" ht="39.9" customHeight="1">
      <c r="A1027" s="492"/>
      <c r="B1027" s="178"/>
      <c r="C1027" s="195" t="s">
        <v>24</v>
      </c>
      <c r="D1027" s="194"/>
      <c r="E1027" s="193" t="s">
        <v>23</v>
      </c>
      <c r="F1027" s="192"/>
      <c r="G1027" s="192"/>
      <c r="H1027" s="192"/>
      <c r="I1027" s="192"/>
      <c r="J1027" s="192"/>
      <c r="K1027" s="436">
        <f>K1028</f>
        <v>52000</v>
      </c>
      <c r="L1027" s="436">
        <f t="shared" ref="L1027" si="135">SUM(F1027:K1027)</f>
        <v>52000</v>
      </c>
      <c r="M1027" s="436">
        <f>M1028</f>
        <v>83786</v>
      </c>
      <c r="N1027" s="436">
        <f>N1028</f>
        <v>40313.370000000003</v>
      </c>
      <c r="O1027" s="908">
        <f>N1027/M1027</f>
        <v>0.48114685030912091</v>
      </c>
      <c r="P1027" s="777" t="s">
        <v>286</v>
      </c>
    </row>
    <row r="1028" spans="1:18" s="446" customFormat="1" ht="39.9" customHeight="1">
      <c r="A1028" s="705"/>
      <c r="B1028" s="658"/>
      <c r="C1028" s="399">
        <v>1</v>
      </c>
      <c r="D1028" s="447"/>
      <c r="E1028" s="545" t="s">
        <v>233</v>
      </c>
      <c r="F1028" s="660"/>
      <c r="G1028" s="660"/>
      <c r="H1028" s="660"/>
      <c r="I1028" s="660"/>
      <c r="J1028" s="660"/>
      <c r="K1028" s="678">
        <f>52000</f>
        <v>52000</v>
      </c>
      <c r="L1028" s="679">
        <f>L1029+L1048+L1070</f>
        <v>52000</v>
      </c>
      <c r="M1028" s="679">
        <f t="shared" ref="M1028:N1028" si="136">M1029+M1048+M1070</f>
        <v>83786</v>
      </c>
      <c r="N1028" s="679">
        <f t="shared" si="136"/>
        <v>40313.370000000003</v>
      </c>
      <c r="O1028" s="918">
        <f>N1028/M1028</f>
        <v>0.48114685030912091</v>
      </c>
      <c r="P1028" s="777" t="s">
        <v>286</v>
      </c>
    </row>
    <row r="1029" spans="1:18" s="435" customFormat="1" ht="50.25" customHeight="1">
      <c r="A1029" s="705"/>
      <c r="B1029" s="949"/>
      <c r="C1029" s="463"/>
      <c r="D1029" s="448"/>
      <c r="E1029" s="1026" t="s">
        <v>435</v>
      </c>
      <c r="F1029" s="951"/>
      <c r="G1029" s="952"/>
      <c r="H1029" s="952"/>
      <c r="I1029" s="952"/>
      <c r="J1029" s="953"/>
      <c r="K1029" s="954"/>
      <c r="L1029" s="955">
        <v>43000</v>
      </c>
      <c r="M1029" s="955">
        <v>60481</v>
      </c>
      <c r="N1029" s="956">
        <f>SUM(N1031:N1047)</f>
        <v>38570.25</v>
      </c>
      <c r="O1029" s="932">
        <v>0</v>
      </c>
      <c r="P1029" s="957" t="s">
        <v>286</v>
      </c>
      <c r="Q1029" s="823"/>
      <c r="R1029" s="958"/>
    </row>
    <row r="1030" spans="1:18" s="444" customFormat="1" ht="34.5" customHeight="1">
      <c r="A1030" s="672"/>
      <c r="B1030" s="673"/>
      <c r="C1030" s="454"/>
      <c r="D1030" s="442"/>
      <c r="E1030" s="1024" t="s">
        <v>16</v>
      </c>
      <c r="F1030" s="703"/>
      <c r="G1030" s="704"/>
      <c r="H1030" s="704"/>
      <c r="I1030" s="704"/>
      <c r="J1030" s="704"/>
      <c r="K1030" s="389"/>
      <c r="L1030" s="666"/>
      <c r="M1030" s="666"/>
      <c r="N1030" s="666"/>
      <c r="O1030" s="874"/>
      <c r="P1030" s="960"/>
      <c r="Q1030" s="822"/>
      <c r="R1030" s="961"/>
    </row>
    <row r="1031" spans="1:18" s="444" customFormat="1" ht="36" customHeight="1">
      <c r="A1031" s="672"/>
      <c r="B1031" s="673"/>
      <c r="C1031" s="454"/>
      <c r="D1031" s="429"/>
      <c r="E1031" s="1025" t="s">
        <v>519</v>
      </c>
      <c r="F1031" s="703"/>
      <c r="G1031" s="704"/>
      <c r="H1031" s="704"/>
      <c r="I1031" s="704"/>
      <c r="J1031" s="704"/>
      <c r="K1031" s="389"/>
      <c r="L1031" s="963"/>
      <c r="M1031" s="963"/>
      <c r="N1031" s="964">
        <v>27873.43</v>
      </c>
      <c r="O1031" s="874"/>
      <c r="P1031" s="960"/>
      <c r="Q1031" s="822"/>
      <c r="R1031" s="961"/>
    </row>
    <row r="1032" spans="1:18" s="444" customFormat="1" ht="57" customHeight="1">
      <c r="A1032" s="672"/>
      <c r="B1032" s="673"/>
      <c r="C1032" s="454"/>
      <c r="D1032" s="442"/>
      <c r="E1032" s="1025" t="s">
        <v>469</v>
      </c>
      <c r="F1032" s="703"/>
      <c r="G1032" s="704"/>
      <c r="H1032" s="704"/>
      <c r="I1032" s="704"/>
      <c r="J1032" s="704"/>
      <c r="K1032" s="389"/>
      <c r="L1032" s="963"/>
      <c r="M1032" s="963"/>
      <c r="N1032" s="964">
        <v>0</v>
      </c>
      <c r="O1032" s="874"/>
      <c r="P1032" s="960"/>
      <c r="Q1032" s="822"/>
      <c r="R1032" s="961"/>
    </row>
    <row r="1033" spans="1:18" s="444" customFormat="1" ht="33.75" customHeight="1">
      <c r="A1033" s="672"/>
      <c r="B1033" s="673"/>
      <c r="C1033" s="454"/>
      <c r="D1033" s="442"/>
      <c r="E1033" s="1025" t="s">
        <v>477</v>
      </c>
      <c r="F1033" s="703"/>
      <c r="G1033" s="704"/>
      <c r="H1033" s="704"/>
      <c r="I1033" s="704"/>
      <c r="J1033" s="704"/>
      <c r="K1033" s="389"/>
      <c r="L1033" s="963"/>
      <c r="M1033" s="963"/>
      <c r="N1033" s="964">
        <v>0</v>
      </c>
      <c r="O1033" s="874"/>
      <c r="P1033" s="960"/>
      <c r="Q1033" s="822"/>
      <c r="R1033" s="961"/>
    </row>
    <row r="1034" spans="1:18" s="444" customFormat="1" ht="36" customHeight="1">
      <c r="A1034" s="672"/>
      <c r="B1034" s="673"/>
      <c r="C1034" s="454"/>
      <c r="D1034" s="442"/>
      <c r="E1034" s="1025" t="s">
        <v>478</v>
      </c>
      <c r="F1034" s="703"/>
      <c r="G1034" s="704"/>
      <c r="H1034" s="704"/>
      <c r="I1034" s="704"/>
      <c r="J1034" s="704"/>
      <c r="K1034" s="389"/>
      <c r="L1034" s="963"/>
      <c r="M1034" s="963"/>
      <c r="N1034" s="964">
        <v>0</v>
      </c>
      <c r="O1034" s="874"/>
      <c r="P1034" s="960"/>
      <c r="Q1034" s="822"/>
      <c r="R1034" s="961"/>
    </row>
    <row r="1035" spans="1:18" s="444" customFormat="1" ht="36" customHeight="1">
      <c r="A1035" s="672"/>
      <c r="B1035" s="673"/>
      <c r="C1035" s="454"/>
      <c r="D1035" s="442"/>
      <c r="E1035" s="1025" t="s">
        <v>471</v>
      </c>
      <c r="F1035" s="703"/>
      <c r="G1035" s="704"/>
      <c r="H1035" s="704"/>
      <c r="I1035" s="704"/>
      <c r="J1035" s="704"/>
      <c r="K1035" s="389"/>
      <c r="L1035" s="963"/>
      <c r="M1035" s="963"/>
      <c r="N1035" s="964">
        <v>0</v>
      </c>
      <c r="O1035" s="874"/>
      <c r="P1035" s="960"/>
      <c r="Q1035" s="822"/>
      <c r="R1035" s="961"/>
    </row>
    <row r="1036" spans="1:18" s="444" customFormat="1" ht="36" customHeight="1">
      <c r="A1036" s="672"/>
      <c r="B1036" s="673"/>
      <c r="C1036" s="454"/>
      <c r="D1036" s="442"/>
      <c r="E1036" s="1025" t="s">
        <v>437</v>
      </c>
      <c r="F1036" s="703"/>
      <c r="G1036" s="704"/>
      <c r="H1036" s="704"/>
      <c r="I1036" s="704"/>
      <c r="J1036" s="704"/>
      <c r="K1036" s="389"/>
      <c r="L1036" s="963"/>
      <c r="M1036" s="963"/>
      <c r="N1036" s="964">
        <v>0</v>
      </c>
      <c r="O1036" s="874"/>
      <c r="P1036" s="960"/>
      <c r="Q1036" s="822"/>
      <c r="R1036" s="961"/>
    </row>
    <row r="1037" spans="1:18" s="444" customFormat="1" ht="36" customHeight="1">
      <c r="A1037" s="672"/>
      <c r="B1037" s="673"/>
      <c r="C1037" s="454"/>
      <c r="D1037" s="442"/>
      <c r="E1037" s="1025" t="s">
        <v>438</v>
      </c>
      <c r="F1037" s="703"/>
      <c r="G1037" s="704"/>
      <c r="H1037" s="704"/>
      <c r="I1037" s="704"/>
      <c r="J1037" s="704"/>
      <c r="K1037" s="389"/>
      <c r="L1037" s="963"/>
      <c r="M1037" s="963"/>
      <c r="N1037" s="964">
        <v>0</v>
      </c>
      <c r="O1037" s="874"/>
      <c r="P1037" s="960"/>
      <c r="Q1037" s="822"/>
      <c r="R1037" s="961"/>
    </row>
    <row r="1038" spans="1:18" s="444" customFormat="1" ht="36" customHeight="1">
      <c r="A1038" s="672"/>
      <c r="B1038" s="673"/>
      <c r="C1038" s="454"/>
      <c r="D1038" s="442"/>
      <c r="E1038" s="1025" t="s">
        <v>480</v>
      </c>
      <c r="F1038" s="703"/>
      <c r="G1038" s="704"/>
      <c r="H1038" s="704"/>
      <c r="I1038" s="704"/>
      <c r="J1038" s="704"/>
      <c r="K1038" s="389"/>
      <c r="L1038" s="963"/>
      <c r="M1038" s="963"/>
      <c r="N1038" s="964">
        <v>0</v>
      </c>
      <c r="O1038" s="874"/>
      <c r="P1038" s="960"/>
      <c r="Q1038" s="822"/>
      <c r="R1038" s="961"/>
    </row>
    <row r="1039" spans="1:18" s="444" customFormat="1" ht="36" customHeight="1">
      <c r="A1039" s="672"/>
      <c r="B1039" s="673"/>
      <c r="C1039" s="454"/>
      <c r="D1039" s="442"/>
      <c r="E1039" s="1025" t="s">
        <v>439</v>
      </c>
      <c r="F1039" s="703"/>
      <c r="G1039" s="704"/>
      <c r="H1039" s="704"/>
      <c r="I1039" s="704"/>
      <c r="J1039" s="704"/>
      <c r="K1039" s="389"/>
      <c r="L1039" s="963"/>
      <c r="M1039" s="963"/>
      <c r="N1039" s="964">
        <v>0</v>
      </c>
      <c r="O1039" s="874"/>
      <c r="P1039" s="960"/>
      <c r="Q1039" s="822"/>
      <c r="R1039" s="961"/>
    </row>
    <row r="1040" spans="1:18" s="444" customFormat="1" ht="36" customHeight="1">
      <c r="A1040" s="672"/>
      <c r="B1040" s="673"/>
      <c r="C1040" s="454"/>
      <c r="D1040" s="442"/>
      <c r="E1040" s="1025" t="s">
        <v>440</v>
      </c>
      <c r="F1040" s="703"/>
      <c r="G1040" s="704"/>
      <c r="H1040" s="704"/>
      <c r="I1040" s="704"/>
      <c r="J1040" s="704"/>
      <c r="K1040" s="389"/>
      <c r="L1040" s="963"/>
      <c r="M1040" s="963"/>
      <c r="N1040" s="964">
        <v>0</v>
      </c>
      <c r="O1040" s="874"/>
      <c r="P1040" s="960"/>
      <c r="Q1040" s="822"/>
      <c r="R1040" s="961"/>
    </row>
    <row r="1041" spans="1:18" s="444" customFormat="1" ht="36" customHeight="1">
      <c r="A1041" s="672"/>
      <c r="B1041" s="673"/>
      <c r="C1041" s="454"/>
      <c r="D1041" s="442"/>
      <c r="E1041" s="1025" t="s">
        <v>625</v>
      </c>
      <c r="F1041" s="703"/>
      <c r="G1041" s="704"/>
      <c r="H1041" s="704"/>
      <c r="I1041" s="704"/>
      <c r="J1041" s="704"/>
      <c r="K1041" s="389"/>
      <c r="L1041" s="963"/>
      <c r="M1041" s="963"/>
      <c r="N1041" s="964">
        <v>18.97</v>
      </c>
      <c r="O1041" s="874"/>
      <c r="P1041" s="960"/>
      <c r="Q1041" s="822"/>
      <c r="R1041" s="961"/>
    </row>
    <row r="1042" spans="1:18" s="444" customFormat="1" ht="43.5" customHeight="1">
      <c r="A1042" s="672"/>
      <c r="B1042" s="673"/>
      <c r="C1042" s="454"/>
      <c r="D1042" s="442"/>
      <c r="E1042" s="1025" t="s">
        <v>592</v>
      </c>
      <c r="F1042" s="703"/>
      <c r="G1042" s="704"/>
      <c r="H1042" s="704"/>
      <c r="I1042" s="704"/>
      <c r="J1042" s="704"/>
      <c r="K1042" s="389"/>
      <c r="L1042" s="963"/>
      <c r="M1042" s="963"/>
      <c r="N1042" s="964">
        <v>0</v>
      </c>
      <c r="O1042" s="874"/>
      <c r="P1042" s="960"/>
      <c r="Q1042" s="822"/>
      <c r="R1042" s="961"/>
    </row>
    <row r="1043" spans="1:18" s="444" customFormat="1" ht="36" customHeight="1">
      <c r="A1043" s="672"/>
      <c r="B1043" s="673"/>
      <c r="C1043" s="454"/>
      <c r="D1043" s="442"/>
      <c r="E1043" s="1025" t="s">
        <v>442</v>
      </c>
      <c r="F1043" s="703"/>
      <c r="G1043" s="704"/>
      <c r="H1043" s="704"/>
      <c r="I1043" s="704"/>
      <c r="J1043" s="704"/>
      <c r="K1043" s="389"/>
      <c r="L1043" s="963"/>
      <c r="M1043" s="963"/>
      <c r="N1043" s="964">
        <v>0</v>
      </c>
      <c r="O1043" s="874"/>
      <c r="P1043" s="960"/>
      <c r="Q1043" s="822"/>
      <c r="R1043" s="961"/>
    </row>
    <row r="1044" spans="1:18" s="444" customFormat="1" ht="36" customHeight="1">
      <c r="A1044" s="672"/>
      <c r="B1044" s="673"/>
      <c r="C1044" s="454"/>
      <c r="D1044" s="442"/>
      <c r="E1044" s="1025" t="s">
        <v>443</v>
      </c>
      <c r="F1044" s="703"/>
      <c r="G1044" s="704"/>
      <c r="H1044" s="704"/>
      <c r="I1044" s="704"/>
      <c r="J1044" s="704"/>
      <c r="K1044" s="389"/>
      <c r="L1044" s="963"/>
      <c r="M1044" s="963"/>
      <c r="N1044" s="964">
        <v>4924.29</v>
      </c>
      <c r="O1044" s="874"/>
      <c r="P1044" s="960"/>
      <c r="Q1044" s="822"/>
      <c r="R1044" s="961"/>
    </row>
    <row r="1045" spans="1:18" s="444" customFormat="1" ht="36" customHeight="1">
      <c r="A1045" s="672"/>
      <c r="B1045" s="673"/>
      <c r="C1045" s="454"/>
      <c r="D1045" s="442"/>
      <c r="E1045" s="1025" t="s">
        <v>482</v>
      </c>
      <c r="F1045" s="703"/>
      <c r="G1045" s="704"/>
      <c r="H1045" s="704"/>
      <c r="I1045" s="704"/>
      <c r="J1045" s="704"/>
      <c r="K1045" s="389"/>
      <c r="L1045" s="963"/>
      <c r="M1045" s="963"/>
      <c r="N1045" s="964">
        <v>0</v>
      </c>
      <c r="O1045" s="874"/>
      <c r="P1045" s="960"/>
      <c r="Q1045" s="822"/>
      <c r="R1045" s="961"/>
    </row>
    <row r="1046" spans="1:18" s="444" customFormat="1" ht="36" customHeight="1">
      <c r="A1046" s="672"/>
      <c r="B1046" s="673"/>
      <c r="C1046" s="454"/>
      <c r="D1046" s="442"/>
      <c r="E1046" s="1025" t="s">
        <v>485</v>
      </c>
      <c r="F1046" s="703"/>
      <c r="G1046" s="704"/>
      <c r="H1046" s="704"/>
      <c r="I1046" s="704"/>
      <c r="J1046" s="704"/>
      <c r="K1046" s="389"/>
      <c r="L1046" s="963"/>
      <c r="M1046" s="963"/>
      <c r="N1046" s="964">
        <v>5753.56</v>
      </c>
      <c r="O1046" s="874"/>
      <c r="P1046" s="960"/>
      <c r="Q1046" s="822"/>
      <c r="R1046" s="961"/>
    </row>
    <row r="1047" spans="1:18" s="444" customFormat="1" ht="36" customHeight="1">
      <c r="A1047" s="672"/>
      <c r="B1047" s="673"/>
      <c r="C1047" s="454"/>
      <c r="D1047" s="442"/>
      <c r="E1047" s="1025" t="s">
        <v>445</v>
      </c>
      <c r="F1047" s="703"/>
      <c r="G1047" s="704"/>
      <c r="H1047" s="704"/>
      <c r="I1047" s="704"/>
      <c r="J1047" s="704"/>
      <c r="K1047" s="389"/>
      <c r="L1047" s="963"/>
      <c r="M1047" s="963"/>
      <c r="N1047" s="964">
        <v>0</v>
      </c>
      <c r="O1047" s="874"/>
      <c r="P1047" s="960"/>
      <c r="Q1047" s="822"/>
      <c r="R1047" s="961"/>
    </row>
    <row r="1048" spans="1:18" s="444" customFormat="1" ht="58.5" customHeight="1">
      <c r="A1048" s="672"/>
      <c r="B1048" s="673"/>
      <c r="C1048" s="965"/>
      <c r="D1048" s="442"/>
      <c r="E1048" s="1026" t="s">
        <v>446</v>
      </c>
      <c r="F1048" s="955">
        <v>117300</v>
      </c>
      <c r="G1048" s="955">
        <v>111778</v>
      </c>
      <c r="H1048" s="955">
        <v>74715.13</v>
      </c>
      <c r="I1048" s="704"/>
      <c r="J1048" s="704"/>
      <c r="K1048" s="532"/>
      <c r="L1048" s="955">
        <v>9000</v>
      </c>
      <c r="M1048" s="955">
        <v>23305</v>
      </c>
      <c r="N1048" s="956">
        <f>SUM(N1049:N1069)</f>
        <v>1743.12</v>
      </c>
      <c r="O1048" s="932">
        <f>N1048/M1048</f>
        <v>7.4795966530787378E-2</v>
      </c>
      <c r="P1048" s="960" t="s">
        <v>286</v>
      </c>
      <c r="Q1048" s="822"/>
      <c r="R1048" s="961"/>
    </row>
    <row r="1049" spans="1:18" s="444" customFormat="1" ht="83.25" customHeight="1">
      <c r="A1049" s="672"/>
      <c r="B1049" s="673"/>
      <c r="C1049" s="965"/>
      <c r="D1049" s="442"/>
      <c r="E1049" s="1027" t="s">
        <v>447</v>
      </c>
      <c r="F1049" s="967"/>
      <c r="G1049" s="967"/>
      <c r="H1049" s="967">
        <v>0</v>
      </c>
      <c r="I1049" s="704"/>
      <c r="J1049" s="704"/>
      <c r="K1049" s="532"/>
      <c r="L1049" s="967"/>
      <c r="M1049" s="967"/>
      <c r="N1049" s="968">
        <v>0</v>
      </c>
      <c r="O1049" s="874"/>
      <c r="P1049" s="960"/>
      <c r="Q1049" s="822"/>
      <c r="R1049" s="961"/>
    </row>
    <row r="1050" spans="1:18" s="444" customFormat="1" ht="36" customHeight="1">
      <c r="A1050" s="672"/>
      <c r="B1050" s="673"/>
      <c r="C1050" s="965"/>
      <c r="D1050" s="442"/>
      <c r="E1050" s="1027" t="s">
        <v>448</v>
      </c>
      <c r="F1050" s="967"/>
      <c r="G1050" s="967"/>
      <c r="H1050" s="967">
        <v>0</v>
      </c>
      <c r="I1050" s="704"/>
      <c r="J1050" s="704"/>
      <c r="K1050" s="532"/>
      <c r="L1050" s="967"/>
      <c r="M1050" s="967"/>
      <c r="N1050" s="968">
        <v>0</v>
      </c>
      <c r="O1050" s="874"/>
      <c r="P1050" s="960"/>
      <c r="Q1050" s="822"/>
      <c r="R1050" s="961"/>
    </row>
    <row r="1051" spans="1:18" s="444" customFormat="1" ht="36" customHeight="1">
      <c r="A1051" s="672"/>
      <c r="B1051" s="673"/>
      <c r="C1051" s="965"/>
      <c r="D1051" s="442"/>
      <c r="E1051" s="1027" t="s">
        <v>449</v>
      </c>
      <c r="F1051" s="967"/>
      <c r="G1051" s="967"/>
      <c r="H1051" s="967">
        <v>0</v>
      </c>
      <c r="I1051" s="704"/>
      <c r="J1051" s="704"/>
      <c r="K1051" s="532"/>
      <c r="L1051" s="967"/>
      <c r="M1051" s="967"/>
      <c r="N1051" s="968">
        <v>0</v>
      </c>
      <c r="O1051" s="874"/>
      <c r="P1051" s="960"/>
      <c r="Q1051" s="822"/>
      <c r="R1051" s="961"/>
    </row>
    <row r="1052" spans="1:18" s="444" customFormat="1" ht="36" customHeight="1">
      <c r="A1052" s="672"/>
      <c r="B1052" s="673"/>
      <c r="C1052" s="965"/>
      <c r="D1052" s="442"/>
      <c r="E1052" s="1027" t="s">
        <v>450</v>
      </c>
      <c r="F1052" s="967"/>
      <c r="G1052" s="967"/>
      <c r="H1052" s="967">
        <v>0</v>
      </c>
      <c r="I1052" s="704"/>
      <c r="J1052" s="704"/>
      <c r="K1052" s="532"/>
      <c r="L1052" s="967"/>
      <c r="M1052" s="967"/>
      <c r="N1052" s="968">
        <v>0</v>
      </c>
      <c r="O1052" s="874"/>
      <c r="P1052" s="960"/>
      <c r="Q1052" s="822"/>
      <c r="R1052" s="961"/>
    </row>
    <row r="1053" spans="1:18" s="444" customFormat="1" ht="36" customHeight="1">
      <c r="A1053" s="672"/>
      <c r="B1053" s="673"/>
      <c r="C1053" s="965"/>
      <c r="D1053" s="442"/>
      <c r="E1053" s="1027" t="s">
        <v>451</v>
      </c>
      <c r="F1053" s="967"/>
      <c r="G1053" s="967"/>
      <c r="H1053" s="967">
        <v>0</v>
      </c>
      <c r="I1053" s="704"/>
      <c r="J1053" s="704"/>
      <c r="K1053" s="532"/>
      <c r="L1053" s="967"/>
      <c r="M1053" s="967"/>
      <c r="N1053" s="968">
        <v>0</v>
      </c>
      <c r="O1053" s="874"/>
      <c r="P1053" s="960"/>
      <c r="Q1053" s="822"/>
      <c r="R1053" s="961"/>
    </row>
    <row r="1054" spans="1:18" s="444" customFormat="1" ht="47.25" customHeight="1">
      <c r="A1054" s="672"/>
      <c r="B1054" s="673"/>
      <c r="C1054" s="965"/>
      <c r="D1054" s="442"/>
      <c r="E1054" s="1028" t="s">
        <v>491</v>
      </c>
      <c r="F1054" s="967"/>
      <c r="G1054" s="967"/>
      <c r="H1054" s="967">
        <v>4300</v>
      </c>
      <c r="I1054" s="704"/>
      <c r="J1054" s="704"/>
      <c r="K1054" s="532"/>
      <c r="L1054" s="967"/>
      <c r="M1054" s="967"/>
      <c r="N1054" s="968">
        <v>0</v>
      </c>
      <c r="O1054" s="874"/>
      <c r="P1054" s="960"/>
      <c r="Q1054" s="822"/>
      <c r="R1054" s="961"/>
    </row>
    <row r="1055" spans="1:18" s="444" customFormat="1" ht="84" customHeight="1">
      <c r="A1055" s="672"/>
      <c r="B1055" s="673"/>
      <c r="C1055" s="965"/>
      <c r="D1055" s="442"/>
      <c r="E1055" s="1027" t="s">
        <v>453</v>
      </c>
      <c r="F1055" s="967"/>
      <c r="G1055" s="967"/>
      <c r="H1055" s="967">
        <v>0</v>
      </c>
      <c r="I1055" s="704"/>
      <c r="J1055" s="704"/>
      <c r="K1055" s="532"/>
      <c r="L1055" s="967"/>
      <c r="M1055" s="967"/>
      <c r="N1055" s="968">
        <v>0</v>
      </c>
      <c r="O1055" s="874"/>
      <c r="P1055" s="960"/>
      <c r="Q1055" s="822"/>
      <c r="R1055" s="961"/>
    </row>
    <row r="1056" spans="1:18" s="444" customFormat="1" ht="54.75" customHeight="1">
      <c r="A1056" s="672"/>
      <c r="B1056" s="673"/>
      <c r="C1056" s="965"/>
      <c r="D1056" s="442"/>
      <c r="E1056" s="1027" t="s">
        <v>454</v>
      </c>
      <c r="F1056" s="967"/>
      <c r="G1056" s="967"/>
      <c r="H1056" s="967">
        <v>0</v>
      </c>
      <c r="I1056" s="704"/>
      <c r="J1056" s="704"/>
      <c r="K1056" s="532"/>
      <c r="L1056" s="967"/>
      <c r="M1056" s="967"/>
      <c r="N1056" s="968">
        <v>0</v>
      </c>
      <c r="O1056" s="874"/>
      <c r="P1056" s="960"/>
      <c r="Q1056" s="822"/>
      <c r="R1056" s="961"/>
    </row>
    <row r="1057" spans="1:18" s="444" customFormat="1" ht="36" customHeight="1">
      <c r="A1057" s="672"/>
      <c r="B1057" s="673"/>
      <c r="C1057" s="965"/>
      <c r="D1057" s="442"/>
      <c r="E1057" s="1027" t="s">
        <v>455</v>
      </c>
      <c r="F1057" s="967"/>
      <c r="G1057" s="967"/>
      <c r="H1057" s="967">
        <v>0</v>
      </c>
      <c r="I1057" s="704"/>
      <c r="J1057" s="704"/>
      <c r="K1057" s="532"/>
      <c r="L1057" s="967"/>
      <c r="M1057" s="967"/>
      <c r="N1057" s="968">
        <v>0</v>
      </c>
      <c r="O1057" s="874"/>
      <c r="P1057" s="960"/>
      <c r="Q1057" s="822"/>
      <c r="R1057" s="961"/>
    </row>
    <row r="1058" spans="1:18" s="444" customFormat="1" ht="54.75" customHeight="1">
      <c r="A1058" s="672"/>
      <c r="B1058" s="673"/>
      <c r="C1058" s="965"/>
      <c r="D1058" s="442"/>
      <c r="E1058" s="1027" t="s">
        <v>456</v>
      </c>
      <c r="F1058" s="967"/>
      <c r="G1058" s="967"/>
      <c r="H1058" s="967">
        <v>0</v>
      </c>
      <c r="I1058" s="704"/>
      <c r="J1058" s="704"/>
      <c r="K1058" s="532"/>
      <c r="L1058" s="967"/>
      <c r="M1058" s="967"/>
      <c r="N1058" s="968">
        <v>0</v>
      </c>
      <c r="O1058" s="874"/>
      <c r="P1058" s="960"/>
      <c r="Q1058" s="822"/>
      <c r="R1058" s="961"/>
    </row>
    <row r="1059" spans="1:18" s="444" customFormat="1" ht="36" customHeight="1">
      <c r="A1059" s="672"/>
      <c r="B1059" s="673"/>
      <c r="C1059" s="965"/>
      <c r="D1059" s="442"/>
      <c r="E1059" s="1027" t="s">
        <v>457</v>
      </c>
      <c r="F1059" s="967"/>
      <c r="G1059" s="967"/>
      <c r="H1059" s="967">
        <v>0</v>
      </c>
      <c r="I1059" s="704"/>
      <c r="J1059" s="704"/>
      <c r="K1059" s="532"/>
      <c r="L1059" s="967"/>
      <c r="M1059" s="967"/>
      <c r="N1059" s="968">
        <v>0</v>
      </c>
      <c r="O1059" s="874"/>
      <c r="P1059" s="960"/>
      <c r="Q1059" s="822"/>
      <c r="R1059" s="961"/>
    </row>
    <row r="1060" spans="1:18" s="444" customFormat="1" ht="54.75" customHeight="1">
      <c r="A1060" s="672"/>
      <c r="B1060" s="673"/>
      <c r="C1060" s="965"/>
      <c r="D1060" s="442"/>
      <c r="E1060" s="1027" t="s">
        <v>458</v>
      </c>
      <c r="F1060" s="967"/>
      <c r="G1060" s="967"/>
      <c r="H1060" s="967">
        <v>0</v>
      </c>
      <c r="I1060" s="704"/>
      <c r="J1060" s="704"/>
      <c r="K1060" s="532"/>
      <c r="L1060" s="967"/>
      <c r="M1060" s="967"/>
      <c r="N1060" s="968">
        <v>0</v>
      </c>
      <c r="O1060" s="874"/>
      <c r="P1060" s="960"/>
      <c r="Q1060" s="822"/>
      <c r="R1060" s="961"/>
    </row>
    <row r="1061" spans="1:18" s="444" customFormat="1" ht="36" customHeight="1">
      <c r="A1061" s="672"/>
      <c r="B1061" s="673"/>
      <c r="C1061" s="965"/>
      <c r="D1061" s="442"/>
      <c r="E1061" s="1027" t="s">
        <v>459</v>
      </c>
      <c r="F1061" s="970"/>
      <c r="G1061" s="970"/>
      <c r="H1061" s="967">
        <v>32231.32</v>
      </c>
      <c r="I1061" s="704"/>
      <c r="J1061" s="704"/>
      <c r="K1061" s="532"/>
      <c r="L1061" s="970"/>
      <c r="M1061" s="970"/>
      <c r="N1061" s="968">
        <v>0</v>
      </c>
      <c r="O1061" s="874"/>
      <c r="P1061" s="960"/>
      <c r="Q1061" s="822"/>
      <c r="R1061" s="961"/>
    </row>
    <row r="1062" spans="1:18" s="444" customFormat="1" ht="36" customHeight="1">
      <c r="A1062" s="672"/>
      <c r="B1062" s="673"/>
      <c r="C1062" s="965"/>
      <c r="D1062" s="442"/>
      <c r="E1062" s="1027" t="s">
        <v>460</v>
      </c>
      <c r="F1062" s="970"/>
      <c r="G1062" s="970"/>
      <c r="H1062" s="967">
        <v>0</v>
      </c>
      <c r="I1062" s="704"/>
      <c r="J1062" s="704"/>
      <c r="K1062" s="532"/>
      <c r="L1062" s="970"/>
      <c r="M1062" s="970"/>
      <c r="N1062" s="968">
        <v>0</v>
      </c>
      <c r="O1062" s="874"/>
      <c r="P1062" s="960"/>
      <c r="Q1062" s="822"/>
      <c r="R1062" s="961"/>
    </row>
    <row r="1063" spans="1:18" s="444" customFormat="1" ht="36" customHeight="1">
      <c r="A1063" s="672"/>
      <c r="B1063" s="673"/>
      <c r="C1063" s="965"/>
      <c r="D1063" s="442"/>
      <c r="E1063" s="1027" t="s">
        <v>461</v>
      </c>
      <c r="F1063" s="970"/>
      <c r="G1063" s="970"/>
      <c r="H1063" s="967">
        <v>692</v>
      </c>
      <c r="I1063" s="704"/>
      <c r="J1063" s="704"/>
      <c r="K1063" s="532"/>
      <c r="L1063" s="970"/>
      <c r="M1063" s="970"/>
      <c r="N1063" s="968">
        <v>0</v>
      </c>
      <c r="O1063" s="874"/>
      <c r="P1063" s="960"/>
      <c r="Q1063" s="822"/>
      <c r="R1063" s="961"/>
    </row>
    <row r="1064" spans="1:18" s="444" customFormat="1" ht="36" customHeight="1">
      <c r="A1064" s="672"/>
      <c r="B1064" s="673"/>
      <c r="C1064" s="965"/>
      <c r="D1064" s="442"/>
      <c r="E1064" s="1027" t="s">
        <v>462</v>
      </c>
      <c r="F1064" s="970"/>
      <c r="G1064" s="970"/>
      <c r="H1064" s="967">
        <v>35817</v>
      </c>
      <c r="I1064" s="704"/>
      <c r="J1064" s="704"/>
      <c r="K1064" s="532"/>
      <c r="L1064" s="970"/>
      <c r="M1064" s="970"/>
      <c r="N1064" s="968">
        <v>1600</v>
      </c>
      <c r="O1064" s="874"/>
      <c r="P1064" s="960"/>
      <c r="Q1064" s="822"/>
      <c r="R1064" s="961"/>
    </row>
    <row r="1065" spans="1:18" s="444" customFormat="1" ht="36" customHeight="1">
      <c r="A1065" s="672"/>
      <c r="B1065" s="673"/>
      <c r="C1065" s="965"/>
      <c r="D1065" s="442"/>
      <c r="E1065" s="1027" t="s">
        <v>463</v>
      </c>
      <c r="F1065" s="970"/>
      <c r="G1065" s="970"/>
      <c r="H1065" s="967">
        <v>0</v>
      </c>
      <c r="I1065" s="704"/>
      <c r="J1065" s="704"/>
      <c r="K1065" s="532"/>
      <c r="L1065" s="970"/>
      <c r="M1065" s="970"/>
      <c r="N1065" s="968">
        <v>0</v>
      </c>
      <c r="O1065" s="874"/>
      <c r="P1065" s="960"/>
      <c r="Q1065" s="822"/>
      <c r="R1065" s="961"/>
    </row>
    <row r="1066" spans="1:18" s="444" customFormat="1" ht="61.5" customHeight="1">
      <c r="A1066" s="672"/>
      <c r="B1066" s="673"/>
      <c r="C1066" s="965"/>
      <c r="D1066" s="442"/>
      <c r="E1066" s="1027" t="s">
        <v>464</v>
      </c>
      <c r="F1066" s="970"/>
      <c r="G1066" s="970"/>
      <c r="H1066" s="967">
        <v>0</v>
      </c>
      <c r="I1066" s="704"/>
      <c r="J1066" s="704"/>
      <c r="K1066" s="532"/>
      <c r="L1066" s="970"/>
      <c r="M1066" s="970"/>
      <c r="N1066" s="968">
        <v>143.12</v>
      </c>
      <c r="O1066" s="874"/>
      <c r="P1066" s="960"/>
      <c r="Q1066" s="822"/>
      <c r="R1066" s="961"/>
    </row>
    <row r="1067" spans="1:18" s="444" customFormat="1" ht="36" customHeight="1">
      <c r="A1067" s="672"/>
      <c r="B1067" s="673"/>
      <c r="C1067" s="965"/>
      <c r="D1067" s="442"/>
      <c r="E1067" s="1027" t="s">
        <v>465</v>
      </c>
      <c r="F1067" s="970"/>
      <c r="G1067" s="970"/>
      <c r="H1067" s="967">
        <v>0</v>
      </c>
      <c r="I1067" s="704"/>
      <c r="J1067" s="704"/>
      <c r="K1067" s="532"/>
      <c r="L1067" s="970"/>
      <c r="M1067" s="970"/>
      <c r="N1067" s="968">
        <v>0</v>
      </c>
      <c r="O1067" s="874"/>
      <c r="P1067" s="960"/>
      <c r="Q1067" s="822"/>
      <c r="R1067" s="961"/>
    </row>
    <row r="1068" spans="1:18" s="444" customFormat="1" ht="36" customHeight="1">
      <c r="A1068" s="672"/>
      <c r="B1068" s="673"/>
      <c r="C1068" s="965"/>
      <c r="D1068" s="442"/>
      <c r="E1068" s="1027" t="s">
        <v>466</v>
      </c>
      <c r="F1068" s="970"/>
      <c r="G1068" s="970"/>
      <c r="H1068" s="967">
        <v>0</v>
      </c>
      <c r="I1068" s="704"/>
      <c r="J1068" s="704"/>
      <c r="K1068" s="532"/>
      <c r="L1068" s="970"/>
      <c r="M1068" s="970"/>
      <c r="N1068" s="968">
        <v>0</v>
      </c>
      <c r="O1068" s="874"/>
      <c r="P1068" s="960"/>
      <c r="Q1068" s="822"/>
      <c r="R1068" s="961"/>
    </row>
    <row r="1069" spans="1:18" s="444" customFormat="1" ht="36" customHeight="1">
      <c r="A1069" s="672"/>
      <c r="B1069" s="673"/>
      <c r="C1069" s="965"/>
      <c r="D1069" s="442"/>
      <c r="E1069" s="1027" t="s">
        <v>492</v>
      </c>
      <c r="F1069" s="970"/>
      <c r="G1069" s="970"/>
      <c r="H1069" s="967">
        <v>1674.81</v>
      </c>
      <c r="I1069" s="704"/>
      <c r="J1069" s="704"/>
      <c r="K1069" s="532"/>
      <c r="L1069" s="970"/>
      <c r="M1069" s="970"/>
      <c r="N1069" s="968">
        <v>0</v>
      </c>
      <c r="O1069" s="874"/>
      <c r="P1069" s="960"/>
      <c r="Q1069" s="822"/>
      <c r="R1069" s="961"/>
    </row>
    <row r="1070" spans="1:18" s="444" customFormat="1" ht="57" customHeight="1">
      <c r="A1070" s="672"/>
      <c r="B1070" s="673"/>
      <c r="C1070" s="965"/>
      <c r="D1070" s="442"/>
      <c r="E1070" s="1026" t="s">
        <v>467</v>
      </c>
      <c r="F1070" s="955">
        <v>117300</v>
      </c>
      <c r="G1070" s="955">
        <v>111778</v>
      </c>
      <c r="H1070" s="955">
        <v>74715.13</v>
      </c>
      <c r="I1070" s="704"/>
      <c r="J1070" s="704"/>
      <c r="K1070" s="532"/>
      <c r="L1070" s="955">
        <v>0</v>
      </c>
      <c r="M1070" s="955">
        <v>0</v>
      </c>
      <c r="N1070" s="955">
        <v>0</v>
      </c>
      <c r="O1070" s="932">
        <v>0</v>
      </c>
      <c r="P1070" s="960" t="s">
        <v>286</v>
      </c>
      <c r="Q1070" s="822"/>
      <c r="R1070" s="961"/>
    </row>
    <row r="1071" spans="1:18" s="198" customFormat="1" ht="45" customHeight="1">
      <c r="A1071" s="492"/>
      <c r="B1071" s="178"/>
      <c r="C1071" s="195" t="s">
        <v>53</v>
      </c>
      <c r="D1071" s="194"/>
      <c r="E1071" s="193" t="s">
        <v>52</v>
      </c>
      <c r="F1071" s="192"/>
      <c r="G1071" s="192"/>
      <c r="H1071" s="192"/>
      <c r="I1071" s="192"/>
      <c r="J1071" s="192"/>
      <c r="K1071" s="192">
        <f>K1072+K1158+K1115</f>
        <v>185184</v>
      </c>
      <c r="L1071" s="436">
        <f>L1072+L1158+L1115</f>
        <v>185184</v>
      </c>
      <c r="M1071" s="436">
        <f>M1072+M1115+M1158</f>
        <v>185184</v>
      </c>
      <c r="N1071" s="436">
        <f>N1072+N1115+N1158</f>
        <v>103020.06000000001</v>
      </c>
      <c r="O1071" s="908">
        <f>N1071/M1071</f>
        <v>0.55631188439606016</v>
      </c>
      <c r="P1071" s="777" t="s">
        <v>286</v>
      </c>
    </row>
    <row r="1072" spans="1:18" s="188" customFormat="1" ht="45" customHeight="1">
      <c r="A1072" s="492"/>
      <c r="B1072" s="178"/>
      <c r="C1072" s="461">
        <v>1</v>
      </c>
      <c r="D1072" s="448"/>
      <c r="E1072" s="547" t="s">
        <v>231</v>
      </c>
      <c r="F1072" s="548"/>
      <c r="G1072" s="432"/>
      <c r="H1072" s="432"/>
      <c r="I1072" s="432"/>
      <c r="J1072" s="425"/>
      <c r="K1072" s="432">
        <v>16030</v>
      </c>
      <c r="L1072" s="432">
        <f>K1072</f>
        <v>16030</v>
      </c>
      <c r="M1072" s="432">
        <f>L1072</f>
        <v>16030</v>
      </c>
      <c r="N1072" s="432">
        <f>N1073+N1092+N1114</f>
        <v>1112.0500000000002</v>
      </c>
      <c r="O1072" s="914">
        <f>N1072/M1072</f>
        <v>6.9373050530255775E-2</v>
      </c>
      <c r="P1072" s="778" t="s">
        <v>286</v>
      </c>
    </row>
    <row r="1073" spans="1:18" s="435" customFormat="1" ht="39.9" customHeight="1">
      <c r="A1073" s="705"/>
      <c r="B1073" s="949"/>
      <c r="C1073" s="463"/>
      <c r="D1073" s="448"/>
      <c r="E1073" s="950" t="s">
        <v>435</v>
      </c>
      <c r="F1073" s="951"/>
      <c r="G1073" s="952"/>
      <c r="H1073" s="952"/>
      <c r="I1073" s="952"/>
      <c r="J1073" s="953"/>
      <c r="K1073" s="954"/>
      <c r="L1073" s="955">
        <v>8369</v>
      </c>
      <c r="M1073" s="955">
        <v>8369</v>
      </c>
      <c r="N1073" s="956">
        <f>SUM(N1075:N1091)</f>
        <v>762.05000000000007</v>
      </c>
      <c r="O1073" s="932">
        <f>N1073/M1073</f>
        <v>9.1056279125343531E-2</v>
      </c>
      <c r="P1073" s="957" t="s">
        <v>286</v>
      </c>
      <c r="Q1073" s="823"/>
      <c r="R1073" s="958"/>
    </row>
    <row r="1074" spans="1:18" s="444" customFormat="1" ht="34.5" customHeight="1">
      <c r="A1074" s="672"/>
      <c r="B1074" s="673"/>
      <c r="C1074" s="454"/>
      <c r="D1074" s="442"/>
      <c r="E1074" s="959" t="s">
        <v>16</v>
      </c>
      <c r="F1074" s="703"/>
      <c r="G1074" s="704"/>
      <c r="H1074" s="704"/>
      <c r="I1074" s="704"/>
      <c r="J1074" s="704"/>
      <c r="K1074" s="389"/>
      <c r="L1074" s="666"/>
      <c r="M1074" s="666"/>
      <c r="N1074" s="666"/>
      <c r="O1074" s="874"/>
      <c r="P1074" s="960"/>
      <c r="Q1074" s="822"/>
      <c r="R1074" s="961"/>
    </row>
    <row r="1075" spans="1:18" s="444" customFormat="1" ht="36" customHeight="1">
      <c r="A1075" s="672"/>
      <c r="B1075" s="673"/>
      <c r="C1075" s="454"/>
      <c r="D1075" s="429"/>
      <c r="E1075" s="962" t="s">
        <v>476</v>
      </c>
      <c r="F1075" s="703"/>
      <c r="G1075" s="704"/>
      <c r="H1075" s="704"/>
      <c r="I1075" s="704"/>
      <c r="J1075" s="704"/>
      <c r="K1075" s="389"/>
      <c r="L1075" s="963"/>
      <c r="M1075" s="963"/>
      <c r="N1075" s="964">
        <v>0</v>
      </c>
      <c r="O1075" s="874"/>
      <c r="P1075" s="960"/>
      <c r="Q1075" s="822"/>
      <c r="R1075" s="961"/>
    </row>
    <row r="1076" spans="1:18" s="444" customFormat="1" ht="57" customHeight="1">
      <c r="A1076" s="672"/>
      <c r="B1076" s="673"/>
      <c r="C1076" s="454"/>
      <c r="D1076" s="442"/>
      <c r="E1076" s="962" t="s">
        <v>469</v>
      </c>
      <c r="F1076" s="703"/>
      <c r="G1076" s="704"/>
      <c r="H1076" s="704"/>
      <c r="I1076" s="704"/>
      <c r="J1076" s="704"/>
      <c r="K1076" s="389"/>
      <c r="L1076" s="963"/>
      <c r="M1076" s="963"/>
      <c r="N1076" s="964">
        <v>0</v>
      </c>
      <c r="O1076" s="874"/>
      <c r="P1076" s="960"/>
      <c r="Q1076" s="822"/>
      <c r="R1076" s="961"/>
    </row>
    <row r="1077" spans="1:18" s="444" customFormat="1" ht="62.25" customHeight="1">
      <c r="A1077" s="672"/>
      <c r="B1077" s="673"/>
      <c r="C1077" s="454"/>
      <c r="D1077" s="442"/>
      <c r="E1077" s="962" t="s">
        <v>493</v>
      </c>
      <c r="F1077" s="703"/>
      <c r="G1077" s="704"/>
      <c r="H1077" s="704"/>
      <c r="I1077" s="704"/>
      <c r="J1077" s="704"/>
      <c r="K1077" s="389"/>
      <c r="L1077" s="963"/>
      <c r="M1077" s="963"/>
      <c r="N1077" s="964">
        <v>172.4</v>
      </c>
      <c r="O1077" s="874"/>
      <c r="P1077" s="960"/>
      <c r="Q1077" s="822"/>
      <c r="R1077" s="961"/>
    </row>
    <row r="1078" spans="1:18" s="444" customFormat="1" ht="37.5" customHeight="1">
      <c r="A1078" s="672"/>
      <c r="B1078" s="673"/>
      <c r="C1078" s="454"/>
      <c r="D1078" s="442"/>
      <c r="E1078" s="962" t="s">
        <v>487</v>
      </c>
      <c r="F1078" s="703"/>
      <c r="G1078" s="704"/>
      <c r="H1078" s="704"/>
      <c r="I1078" s="704"/>
      <c r="J1078" s="704"/>
      <c r="K1078" s="389"/>
      <c r="L1078" s="963"/>
      <c r="M1078" s="963"/>
      <c r="N1078" s="964">
        <v>0</v>
      </c>
      <c r="O1078" s="874"/>
      <c r="P1078" s="960"/>
      <c r="Q1078" s="822"/>
      <c r="R1078" s="961"/>
    </row>
    <row r="1079" spans="1:18" s="444" customFormat="1" ht="36" customHeight="1">
      <c r="A1079" s="672"/>
      <c r="B1079" s="673"/>
      <c r="C1079" s="454"/>
      <c r="D1079" s="442"/>
      <c r="E1079" s="962" t="s">
        <v>479</v>
      </c>
      <c r="F1079" s="703"/>
      <c r="G1079" s="704"/>
      <c r="H1079" s="704"/>
      <c r="I1079" s="704"/>
      <c r="J1079" s="704"/>
      <c r="K1079" s="389"/>
      <c r="L1079" s="963"/>
      <c r="M1079" s="963"/>
      <c r="N1079" s="964">
        <v>0</v>
      </c>
      <c r="O1079" s="874"/>
      <c r="P1079" s="960"/>
      <c r="Q1079" s="822"/>
      <c r="R1079" s="961"/>
    </row>
    <row r="1080" spans="1:18" s="444" customFormat="1" ht="36" customHeight="1">
      <c r="A1080" s="672"/>
      <c r="B1080" s="673"/>
      <c r="C1080" s="454"/>
      <c r="D1080" s="442"/>
      <c r="E1080" s="962" t="s">
        <v>437</v>
      </c>
      <c r="F1080" s="703"/>
      <c r="G1080" s="704"/>
      <c r="H1080" s="704"/>
      <c r="I1080" s="704"/>
      <c r="J1080" s="704"/>
      <c r="K1080" s="389"/>
      <c r="L1080" s="963"/>
      <c r="M1080" s="963"/>
      <c r="N1080" s="964">
        <v>0</v>
      </c>
      <c r="O1080" s="874"/>
      <c r="P1080" s="960"/>
      <c r="Q1080" s="822"/>
      <c r="R1080" s="961"/>
    </row>
    <row r="1081" spans="1:18" s="444" customFormat="1" ht="36" customHeight="1">
      <c r="A1081" s="672"/>
      <c r="B1081" s="673"/>
      <c r="C1081" s="454"/>
      <c r="D1081" s="442"/>
      <c r="E1081" s="962" t="s">
        <v>438</v>
      </c>
      <c r="F1081" s="703"/>
      <c r="G1081" s="704"/>
      <c r="H1081" s="704"/>
      <c r="I1081" s="704"/>
      <c r="J1081" s="704"/>
      <c r="K1081" s="389"/>
      <c r="L1081" s="963"/>
      <c r="M1081" s="963"/>
      <c r="N1081" s="964">
        <v>0</v>
      </c>
      <c r="O1081" s="874"/>
      <c r="P1081" s="960"/>
      <c r="Q1081" s="822"/>
      <c r="R1081" s="961"/>
    </row>
    <row r="1082" spans="1:18" s="444" customFormat="1" ht="36" customHeight="1">
      <c r="A1082" s="672"/>
      <c r="B1082" s="673"/>
      <c r="C1082" s="454"/>
      <c r="D1082" s="442"/>
      <c r="E1082" s="962" t="s">
        <v>488</v>
      </c>
      <c r="F1082" s="703"/>
      <c r="G1082" s="704"/>
      <c r="H1082" s="704"/>
      <c r="I1082" s="704"/>
      <c r="J1082" s="704"/>
      <c r="K1082" s="389"/>
      <c r="L1082" s="963"/>
      <c r="M1082" s="963"/>
      <c r="N1082" s="964">
        <v>0</v>
      </c>
      <c r="O1082" s="874"/>
      <c r="P1082" s="960"/>
      <c r="Q1082" s="822"/>
      <c r="R1082" s="961"/>
    </row>
    <row r="1083" spans="1:18" s="444" customFormat="1" ht="36" customHeight="1">
      <c r="A1083" s="672"/>
      <c r="B1083" s="673"/>
      <c r="C1083" s="454"/>
      <c r="D1083" s="442"/>
      <c r="E1083" s="962" t="s">
        <v>439</v>
      </c>
      <c r="F1083" s="703"/>
      <c r="G1083" s="704"/>
      <c r="H1083" s="704"/>
      <c r="I1083" s="704"/>
      <c r="J1083" s="704"/>
      <c r="K1083" s="389"/>
      <c r="L1083" s="963"/>
      <c r="M1083" s="963"/>
      <c r="N1083" s="964">
        <v>0</v>
      </c>
      <c r="O1083" s="874"/>
      <c r="P1083" s="960"/>
      <c r="Q1083" s="822"/>
      <c r="R1083" s="961"/>
    </row>
    <row r="1084" spans="1:18" s="444" customFormat="1" ht="36" customHeight="1">
      <c r="A1084" s="672"/>
      <c r="B1084" s="673"/>
      <c r="C1084" s="454"/>
      <c r="D1084" s="442"/>
      <c r="E1084" s="962" t="s">
        <v>440</v>
      </c>
      <c r="F1084" s="703"/>
      <c r="G1084" s="704"/>
      <c r="H1084" s="704"/>
      <c r="I1084" s="704"/>
      <c r="J1084" s="704"/>
      <c r="K1084" s="389"/>
      <c r="L1084" s="963"/>
      <c r="M1084" s="963"/>
      <c r="N1084" s="964">
        <v>0</v>
      </c>
      <c r="O1084" s="874"/>
      <c r="P1084" s="960"/>
      <c r="Q1084" s="822"/>
      <c r="R1084" s="961"/>
    </row>
    <row r="1085" spans="1:18" s="444" customFormat="1" ht="36" customHeight="1">
      <c r="A1085" s="672"/>
      <c r="B1085" s="673"/>
      <c r="C1085" s="454"/>
      <c r="D1085" s="442"/>
      <c r="E1085" s="962" t="s">
        <v>441</v>
      </c>
      <c r="F1085" s="703"/>
      <c r="G1085" s="704"/>
      <c r="H1085" s="704"/>
      <c r="I1085" s="704"/>
      <c r="J1085" s="704"/>
      <c r="K1085" s="389"/>
      <c r="L1085" s="963"/>
      <c r="M1085" s="963"/>
      <c r="N1085" s="964">
        <v>0</v>
      </c>
      <c r="O1085" s="874"/>
      <c r="P1085" s="960"/>
      <c r="Q1085" s="822"/>
      <c r="R1085" s="961"/>
    </row>
    <row r="1086" spans="1:18" s="444" customFormat="1" ht="34.5" customHeight="1">
      <c r="A1086" s="672"/>
      <c r="B1086" s="673"/>
      <c r="C1086" s="454"/>
      <c r="D1086" s="442"/>
      <c r="E1086" s="962" t="s">
        <v>489</v>
      </c>
      <c r="F1086" s="703"/>
      <c r="G1086" s="704"/>
      <c r="H1086" s="704"/>
      <c r="I1086" s="704"/>
      <c r="J1086" s="704"/>
      <c r="K1086" s="389"/>
      <c r="L1086" s="963"/>
      <c r="M1086" s="963"/>
      <c r="N1086" s="964">
        <v>0</v>
      </c>
      <c r="O1086" s="874"/>
      <c r="P1086" s="960"/>
      <c r="Q1086" s="822"/>
      <c r="R1086" s="961"/>
    </row>
    <row r="1087" spans="1:18" s="444" customFormat="1" ht="36" customHeight="1">
      <c r="A1087" s="672"/>
      <c r="B1087" s="673"/>
      <c r="C1087" s="454"/>
      <c r="D1087" s="442"/>
      <c r="E1087" s="962" t="s">
        <v>442</v>
      </c>
      <c r="F1087" s="703"/>
      <c r="G1087" s="704"/>
      <c r="H1087" s="704"/>
      <c r="I1087" s="704"/>
      <c r="J1087" s="704"/>
      <c r="K1087" s="389"/>
      <c r="L1087" s="963"/>
      <c r="M1087" s="963"/>
      <c r="N1087" s="964">
        <v>0</v>
      </c>
      <c r="O1087" s="874"/>
      <c r="P1087" s="960"/>
      <c r="Q1087" s="822"/>
      <c r="R1087" s="961"/>
    </row>
    <row r="1088" spans="1:18" s="444" customFormat="1" ht="36" customHeight="1">
      <c r="A1088" s="672"/>
      <c r="B1088" s="673"/>
      <c r="C1088" s="454"/>
      <c r="D1088" s="442"/>
      <c r="E1088" s="962" t="s">
        <v>443</v>
      </c>
      <c r="F1088" s="703"/>
      <c r="G1088" s="704"/>
      <c r="H1088" s="704"/>
      <c r="I1088" s="704"/>
      <c r="J1088" s="704"/>
      <c r="K1088" s="389"/>
      <c r="L1088" s="963"/>
      <c r="M1088" s="963"/>
      <c r="N1088" s="964">
        <v>465.04</v>
      </c>
      <c r="O1088" s="874"/>
      <c r="P1088" s="960"/>
      <c r="Q1088" s="822"/>
      <c r="R1088" s="961"/>
    </row>
    <row r="1089" spans="1:18" s="444" customFormat="1" ht="36" customHeight="1">
      <c r="A1089" s="672"/>
      <c r="B1089" s="673"/>
      <c r="C1089" s="454"/>
      <c r="D1089" s="442"/>
      <c r="E1089" s="962" t="s">
        <v>490</v>
      </c>
      <c r="F1089" s="703"/>
      <c r="G1089" s="704"/>
      <c r="H1089" s="704"/>
      <c r="I1089" s="704"/>
      <c r="J1089" s="704"/>
      <c r="K1089" s="389"/>
      <c r="L1089" s="963"/>
      <c r="M1089" s="963"/>
      <c r="N1089" s="964">
        <v>0</v>
      </c>
      <c r="O1089" s="874"/>
      <c r="P1089" s="960"/>
      <c r="Q1089" s="822"/>
      <c r="R1089" s="961"/>
    </row>
    <row r="1090" spans="1:18" s="444" customFormat="1" ht="36" customHeight="1">
      <c r="A1090" s="672"/>
      <c r="B1090" s="673"/>
      <c r="C1090" s="454"/>
      <c r="D1090" s="442"/>
      <c r="E1090" s="962" t="s">
        <v>485</v>
      </c>
      <c r="F1090" s="703"/>
      <c r="G1090" s="704"/>
      <c r="H1090" s="704"/>
      <c r="I1090" s="704"/>
      <c r="J1090" s="704"/>
      <c r="K1090" s="389"/>
      <c r="L1090" s="963"/>
      <c r="M1090" s="963"/>
      <c r="N1090" s="964">
        <v>0</v>
      </c>
      <c r="O1090" s="874"/>
      <c r="P1090" s="960"/>
      <c r="Q1090" s="822"/>
      <c r="R1090" s="961"/>
    </row>
    <row r="1091" spans="1:18" s="444" customFormat="1" ht="36" customHeight="1">
      <c r="A1091" s="672"/>
      <c r="B1091" s="673"/>
      <c r="C1091" s="454"/>
      <c r="D1091" s="442"/>
      <c r="E1091" s="962" t="s">
        <v>445</v>
      </c>
      <c r="F1091" s="703"/>
      <c r="G1091" s="704"/>
      <c r="H1091" s="704"/>
      <c r="I1091" s="704"/>
      <c r="J1091" s="704"/>
      <c r="K1091" s="389"/>
      <c r="L1091" s="963"/>
      <c r="M1091" s="963"/>
      <c r="N1091" s="964">
        <v>124.61</v>
      </c>
      <c r="O1091" s="874"/>
      <c r="P1091" s="960"/>
      <c r="Q1091" s="822"/>
      <c r="R1091" s="961"/>
    </row>
    <row r="1092" spans="1:18" s="444" customFormat="1" ht="57" customHeight="1">
      <c r="A1092" s="672"/>
      <c r="B1092" s="673"/>
      <c r="C1092" s="965"/>
      <c r="D1092" s="442"/>
      <c r="E1092" s="950" t="s">
        <v>446</v>
      </c>
      <c r="F1092" s="955">
        <v>117300</v>
      </c>
      <c r="G1092" s="955">
        <v>111778</v>
      </c>
      <c r="H1092" s="955">
        <v>74715.13</v>
      </c>
      <c r="I1092" s="704"/>
      <c r="J1092" s="704"/>
      <c r="K1092" s="532"/>
      <c r="L1092" s="955">
        <v>27541</v>
      </c>
      <c r="M1092" s="955">
        <v>27541</v>
      </c>
      <c r="N1092" s="956">
        <f>SUM(N1093:N1113)</f>
        <v>350</v>
      </c>
      <c r="O1092" s="932">
        <f>N1092/M1092</f>
        <v>1.2708325768853709E-2</v>
      </c>
      <c r="P1092" s="960" t="s">
        <v>286</v>
      </c>
      <c r="Q1092" s="822" t="s">
        <v>286</v>
      </c>
      <c r="R1092" s="961"/>
    </row>
    <row r="1093" spans="1:18" s="444" customFormat="1" ht="82.5" customHeight="1">
      <c r="A1093" s="672"/>
      <c r="B1093" s="673"/>
      <c r="C1093" s="965"/>
      <c r="D1093" s="442"/>
      <c r="E1093" s="966" t="s">
        <v>447</v>
      </c>
      <c r="F1093" s="967"/>
      <c r="G1093" s="967"/>
      <c r="H1093" s="967">
        <v>0</v>
      </c>
      <c r="I1093" s="704"/>
      <c r="J1093" s="704"/>
      <c r="K1093" s="532"/>
      <c r="L1093" s="967"/>
      <c r="M1093" s="967"/>
      <c r="N1093" s="968">
        <v>0</v>
      </c>
      <c r="O1093" s="874"/>
      <c r="P1093" s="960"/>
      <c r="Q1093" s="822"/>
      <c r="R1093" s="961"/>
    </row>
    <row r="1094" spans="1:18" s="444" customFormat="1" ht="36" customHeight="1">
      <c r="A1094" s="672"/>
      <c r="B1094" s="673"/>
      <c r="C1094" s="454"/>
      <c r="D1094" s="442"/>
      <c r="E1094" s="966" t="s">
        <v>448</v>
      </c>
      <c r="F1094" s="967"/>
      <c r="G1094" s="967"/>
      <c r="H1094" s="967">
        <v>0</v>
      </c>
      <c r="I1094" s="704"/>
      <c r="J1094" s="704"/>
      <c r="K1094" s="532"/>
      <c r="L1094" s="967"/>
      <c r="M1094" s="967"/>
      <c r="N1094" s="968">
        <v>0</v>
      </c>
      <c r="O1094" s="874"/>
      <c r="P1094" s="960"/>
      <c r="Q1094" s="822"/>
      <c r="R1094" s="961"/>
    </row>
    <row r="1095" spans="1:18" s="444" customFormat="1" ht="36" customHeight="1">
      <c r="A1095" s="672"/>
      <c r="B1095" s="673"/>
      <c r="C1095" s="454"/>
      <c r="D1095" s="442"/>
      <c r="E1095" s="966" t="s">
        <v>449</v>
      </c>
      <c r="F1095" s="967"/>
      <c r="G1095" s="967"/>
      <c r="H1095" s="967">
        <v>0</v>
      </c>
      <c r="I1095" s="704"/>
      <c r="J1095" s="704"/>
      <c r="K1095" s="532"/>
      <c r="L1095" s="967"/>
      <c r="M1095" s="967"/>
      <c r="N1095" s="968">
        <v>0</v>
      </c>
      <c r="O1095" s="874"/>
      <c r="P1095" s="960"/>
      <c r="Q1095" s="822"/>
      <c r="R1095" s="961"/>
    </row>
    <row r="1096" spans="1:18" s="444" customFormat="1" ht="36" customHeight="1">
      <c r="A1096" s="672"/>
      <c r="B1096" s="673"/>
      <c r="C1096" s="454"/>
      <c r="D1096" s="442"/>
      <c r="E1096" s="966" t="s">
        <v>450</v>
      </c>
      <c r="F1096" s="967"/>
      <c r="G1096" s="967"/>
      <c r="H1096" s="967">
        <v>0</v>
      </c>
      <c r="I1096" s="704"/>
      <c r="J1096" s="704"/>
      <c r="K1096" s="532"/>
      <c r="L1096" s="967"/>
      <c r="M1096" s="967"/>
      <c r="N1096" s="968">
        <v>0</v>
      </c>
      <c r="O1096" s="874"/>
      <c r="P1096" s="960"/>
      <c r="Q1096" s="822"/>
      <c r="R1096" s="961"/>
    </row>
    <row r="1097" spans="1:18" s="444" customFormat="1" ht="36" customHeight="1">
      <c r="A1097" s="672"/>
      <c r="B1097" s="673"/>
      <c r="C1097" s="454"/>
      <c r="D1097" s="442"/>
      <c r="E1097" s="966" t="s">
        <v>451</v>
      </c>
      <c r="F1097" s="967"/>
      <c r="G1097" s="967"/>
      <c r="H1097" s="967">
        <v>0</v>
      </c>
      <c r="I1097" s="704"/>
      <c r="J1097" s="704"/>
      <c r="K1097" s="532"/>
      <c r="L1097" s="967"/>
      <c r="M1097" s="967"/>
      <c r="N1097" s="968">
        <v>0</v>
      </c>
      <c r="O1097" s="874"/>
      <c r="P1097" s="960"/>
      <c r="Q1097" s="822"/>
      <c r="R1097" s="961"/>
    </row>
    <row r="1098" spans="1:18" s="444" customFormat="1" ht="36" customHeight="1">
      <c r="A1098" s="672"/>
      <c r="B1098" s="673"/>
      <c r="C1098" s="454"/>
      <c r="D1098" s="442"/>
      <c r="E1098" s="969" t="s">
        <v>491</v>
      </c>
      <c r="F1098" s="967"/>
      <c r="G1098" s="967"/>
      <c r="H1098" s="967">
        <v>4300</v>
      </c>
      <c r="I1098" s="704"/>
      <c r="J1098" s="704"/>
      <c r="K1098" s="532"/>
      <c r="L1098" s="967"/>
      <c r="M1098" s="967"/>
      <c r="N1098" s="968">
        <v>0</v>
      </c>
      <c r="O1098" s="874"/>
      <c r="P1098" s="960"/>
      <c r="Q1098" s="822"/>
      <c r="R1098" s="961"/>
    </row>
    <row r="1099" spans="1:18" s="444" customFormat="1" ht="84" customHeight="1">
      <c r="A1099" s="672"/>
      <c r="B1099" s="673"/>
      <c r="C1099" s="454"/>
      <c r="D1099" s="442"/>
      <c r="E1099" s="966" t="s">
        <v>453</v>
      </c>
      <c r="F1099" s="967"/>
      <c r="G1099" s="967"/>
      <c r="H1099" s="967">
        <v>0</v>
      </c>
      <c r="I1099" s="704"/>
      <c r="J1099" s="704"/>
      <c r="K1099" s="532"/>
      <c r="L1099" s="967"/>
      <c r="M1099" s="967"/>
      <c r="N1099" s="968">
        <v>0</v>
      </c>
      <c r="O1099" s="874"/>
      <c r="P1099" s="960"/>
      <c r="Q1099" s="822"/>
      <c r="R1099" s="961"/>
    </row>
    <row r="1100" spans="1:18" s="444" customFormat="1" ht="64.5" customHeight="1">
      <c r="A1100" s="672"/>
      <c r="B1100" s="673"/>
      <c r="C1100" s="454"/>
      <c r="D1100" s="442"/>
      <c r="E1100" s="966" t="s">
        <v>454</v>
      </c>
      <c r="F1100" s="967"/>
      <c r="G1100" s="967"/>
      <c r="H1100" s="967">
        <v>0</v>
      </c>
      <c r="I1100" s="704"/>
      <c r="J1100" s="704"/>
      <c r="K1100" s="532"/>
      <c r="L1100" s="967"/>
      <c r="M1100" s="967"/>
      <c r="N1100" s="968">
        <v>0</v>
      </c>
      <c r="O1100" s="874"/>
      <c r="P1100" s="960"/>
      <c r="Q1100" s="822"/>
      <c r="R1100" s="961"/>
    </row>
    <row r="1101" spans="1:18" s="444" customFormat="1" ht="36" customHeight="1">
      <c r="A1101" s="672"/>
      <c r="B1101" s="673"/>
      <c r="C1101" s="454"/>
      <c r="D1101" s="442"/>
      <c r="E1101" s="966" t="s">
        <v>455</v>
      </c>
      <c r="F1101" s="967"/>
      <c r="G1101" s="967"/>
      <c r="H1101" s="967">
        <v>0</v>
      </c>
      <c r="I1101" s="704"/>
      <c r="J1101" s="704"/>
      <c r="K1101" s="532"/>
      <c r="L1101" s="967"/>
      <c r="M1101" s="967"/>
      <c r="N1101" s="968">
        <v>0</v>
      </c>
      <c r="O1101" s="874"/>
      <c r="P1101" s="960"/>
      <c r="Q1101" s="822"/>
      <c r="R1101" s="961"/>
    </row>
    <row r="1102" spans="1:18" s="444" customFormat="1" ht="59.25" customHeight="1">
      <c r="A1102" s="672"/>
      <c r="B1102" s="673"/>
      <c r="C1102" s="454"/>
      <c r="D1102" s="442"/>
      <c r="E1102" s="966" t="s">
        <v>456</v>
      </c>
      <c r="F1102" s="967"/>
      <c r="G1102" s="967"/>
      <c r="H1102" s="967">
        <v>0</v>
      </c>
      <c r="I1102" s="704"/>
      <c r="J1102" s="704"/>
      <c r="K1102" s="532"/>
      <c r="L1102" s="967"/>
      <c r="M1102" s="967"/>
      <c r="N1102" s="968">
        <v>0</v>
      </c>
      <c r="O1102" s="874"/>
      <c r="P1102" s="960"/>
      <c r="Q1102" s="822"/>
      <c r="R1102" s="961"/>
    </row>
    <row r="1103" spans="1:18" s="444" customFormat="1" ht="36" customHeight="1">
      <c r="A1103" s="672"/>
      <c r="B1103" s="673"/>
      <c r="C1103" s="454"/>
      <c r="D1103" s="442"/>
      <c r="E1103" s="966" t="s">
        <v>457</v>
      </c>
      <c r="F1103" s="967"/>
      <c r="G1103" s="967"/>
      <c r="H1103" s="967">
        <v>0</v>
      </c>
      <c r="I1103" s="704"/>
      <c r="J1103" s="704"/>
      <c r="K1103" s="532"/>
      <c r="L1103" s="967"/>
      <c r="M1103" s="967"/>
      <c r="N1103" s="968">
        <v>350</v>
      </c>
      <c r="O1103" s="874"/>
      <c r="P1103" s="960"/>
      <c r="Q1103" s="822"/>
      <c r="R1103" s="961"/>
    </row>
    <row r="1104" spans="1:18" s="444" customFormat="1" ht="54.75" customHeight="1">
      <c r="A1104" s="672"/>
      <c r="B1104" s="673"/>
      <c r="C1104" s="454"/>
      <c r="D1104" s="442"/>
      <c r="E1104" s="966" t="s">
        <v>458</v>
      </c>
      <c r="F1104" s="967"/>
      <c r="G1104" s="967"/>
      <c r="H1104" s="967">
        <v>0</v>
      </c>
      <c r="I1104" s="704"/>
      <c r="J1104" s="704"/>
      <c r="K1104" s="532"/>
      <c r="L1104" s="967"/>
      <c r="M1104" s="967"/>
      <c r="N1104" s="968">
        <v>0</v>
      </c>
      <c r="O1104" s="874"/>
      <c r="P1104" s="960"/>
      <c r="Q1104" s="822"/>
      <c r="R1104" s="961"/>
    </row>
    <row r="1105" spans="1:18" s="444" customFormat="1" ht="36" customHeight="1">
      <c r="A1105" s="672"/>
      <c r="B1105" s="673"/>
      <c r="C1105" s="454"/>
      <c r="D1105" s="442"/>
      <c r="E1105" s="966" t="s">
        <v>459</v>
      </c>
      <c r="F1105" s="970"/>
      <c r="G1105" s="970"/>
      <c r="H1105" s="967">
        <v>32231.32</v>
      </c>
      <c r="I1105" s="704"/>
      <c r="J1105" s="704"/>
      <c r="K1105" s="532"/>
      <c r="L1105" s="970"/>
      <c r="M1105" s="970"/>
      <c r="N1105" s="968">
        <v>0</v>
      </c>
      <c r="O1105" s="874"/>
      <c r="P1105" s="960"/>
      <c r="Q1105" s="822"/>
      <c r="R1105" s="961"/>
    </row>
    <row r="1106" spans="1:18" s="444" customFormat="1" ht="36" customHeight="1">
      <c r="A1106" s="672"/>
      <c r="B1106" s="673"/>
      <c r="C1106" s="454"/>
      <c r="D1106" s="442"/>
      <c r="E1106" s="966" t="s">
        <v>460</v>
      </c>
      <c r="F1106" s="970"/>
      <c r="G1106" s="970"/>
      <c r="H1106" s="967">
        <v>0</v>
      </c>
      <c r="I1106" s="704"/>
      <c r="J1106" s="704"/>
      <c r="K1106" s="532"/>
      <c r="L1106" s="970"/>
      <c r="M1106" s="970"/>
      <c r="N1106" s="968">
        <v>0</v>
      </c>
      <c r="O1106" s="874"/>
      <c r="P1106" s="960"/>
      <c r="Q1106" s="822"/>
      <c r="R1106" s="961"/>
    </row>
    <row r="1107" spans="1:18" s="444" customFormat="1" ht="36" customHeight="1">
      <c r="A1107" s="672"/>
      <c r="B1107" s="673"/>
      <c r="C1107" s="454"/>
      <c r="D1107" s="442"/>
      <c r="E1107" s="966" t="s">
        <v>461</v>
      </c>
      <c r="F1107" s="970"/>
      <c r="G1107" s="970"/>
      <c r="H1107" s="967">
        <v>692</v>
      </c>
      <c r="I1107" s="704"/>
      <c r="J1107" s="704"/>
      <c r="K1107" s="532"/>
      <c r="L1107" s="970"/>
      <c r="M1107" s="970"/>
      <c r="N1107" s="968">
        <v>0</v>
      </c>
      <c r="O1107" s="874"/>
      <c r="P1107" s="960"/>
      <c r="Q1107" s="822"/>
      <c r="R1107" s="961"/>
    </row>
    <row r="1108" spans="1:18" s="444" customFormat="1" ht="36" customHeight="1">
      <c r="A1108" s="672"/>
      <c r="B1108" s="673"/>
      <c r="C1108" s="454"/>
      <c r="D1108" s="442"/>
      <c r="E1108" s="966" t="s">
        <v>462</v>
      </c>
      <c r="F1108" s="970"/>
      <c r="G1108" s="970"/>
      <c r="H1108" s="967">
        <v>35817</v>
      </c>
      <c r="I1108" s="704"/>
      <c r="J1108" s="704"/>
      <c r="K1108" s="532"/>
      <c r="L1108" s="970"/>
      <c r="M1108" s="970"/>
      <c r="N1108" s="968">
        <v>0</v>
      </c>
      <c r="O1108" s="874"/>
      <c r="P1108" s="960"/>
      <c r="Q1108" s="822"/>
      <c r="R1108" s="961"/>
    </row>
    <row r="1109" spans="1:18" s="444" customFormat="1" ht="36" customHeight="1">
      <c r="A1109" s="672"/>
      <c r="B1109" s="673"/>
      <c r="C1109" s="454"/>
      <c r="D1109" s="442"/>
      <c r="E1109" s="966" t="s">
        <v>463</v>
      </c>
      <c r="F1109" s="970"/>
      <c r="G1109" s="970"/>
      <c r="H1109" s="967">
        <v>0</v>
      </c>
      <c r="I1109" s="704"/>
      <c r="J1109" s="704"/>
      <c r="K1109" s="532"/>
      <c r="L1109" s="970"/>
      <c r="M1109" s="970"/>
      <c r="N1109" s="968">
        <v>0</v>
      </c>
      <c r="O1109" s="874"/>
      <c r="P1109" s="960"/>
      <c r="Q1109" s="822"/>
      <c r="R1109" s="961"/>
    </row>
    <row r="1110" spans="1:18" s="444" customFormat="1" ht="54.75" customHeight="1">
      <c r="A1110" s="672"/>
      <c r="B1110" s="673"/>
      <c r="C1110" s="454"/>
      <c r="D1110" s="442"/>
      <c r="E1110" s="966" t="s">
        <v>464</v>
      </c>
      <c r="F1110" s="970"/>
      <c r="G1110" s="970"/>
      <c r="H1110" s="967">
        <v>0</v>
      </c>
      <c r="I1110" s="704"/>
      <c r="J1110" s="704"/>
      <c r="K1110" s="532"/>
      <c r="L1110" s="970"/>
      <c r="M1110" s="970"/>
      <c r="N1110" s="968">
        <v>0</v>
      </c>
      <c r="O1110" s="874"/>
      <c r="P1110" s="960"/>
      <c r="Q1110" s="822"/>
      <c r="R1110" s="961"/>
    </row>
    <row r="1111" spans="1:18" s="444" customFormat="1" ht="36" customHeight="1">
      <c r="A1111" s="672"/>
      <c r="B1111" s="673"/>
      <c r="C1111" s="454"/>
      <c r="D1111" s="442"/>
      <c r="E1111" s="966" t="s">
        <v>465</v>
      </c>
      <c r="F1111" s="970"/>
      <c r="G1111" s="970"/>
      <c r="H1111" s="967">
        <v>0</v>
      </c>
      <c r="I1111" s="704"/>
      <c r="J1111" s="704"/>
      <c r="K1111" s="532"/>
      <c r="L1111" s="970"/>
      <c r="M1111" s="970"/>
      <c r="N1111" s="968">
        <v>0</v>
      </c>
      <c r="O1111" s="874"/>
      <c r="P1111" s="960"/>
      <c r="Q1111" s="822"/>
      <c r="R1111" s="961"/>
    </row>
    <row r="1112" spans="1:18" s="444" customFormat="1" ht="36" customHeight="1">
      <c r="A1112" s="672"/>
      <c r="B1112" s="673"/>
      <c r="C1112" s="454"/>
      <c r="D1112" s="442"/>
      <c r="E1112" s="966" t="s">
        <v>466</v>
      </c>
      <c r="F1112" s="970"/>
      <c r="G1112" s="970"/>
      <c r="H1112" s="967">
        <v>0</v>
      </c>
      <c r="I1112" s="704"/>
      <c r="J1112" s="704"/>
      <c r="K1112" s="532"/>
      <c r="L1112" s="970"/>
      <c r="M1112" s="970"/>
      <c r="N1112" s="968">
        <v>0</v>
      </c>
      <c r="O1112" s="874"/>
      <c r="P1112" s="960"/>
      <c r="Q1112" s="822"/>
      <c r="R1112" s="961"/>
    </row>
    <row r="1113" spans="1:18" s="444" customFormat="1" ht="36" customHeight="1">
      <c r="A1113" s="672"/>
      <c r="B1113" s="673"/>
      <c r="C1113" s="454"/>
      <c r="D1113" s="442"/>
      <c r="E1113" s="966" t="s">
        <v>492</v>
      </c>
      <c r="F1113" s="970"/>
      <c r="G1113" s="970"/>
      <c r="H1113" s="967">
        <v>1674.81</v>
      </c>
      <c r="I1113" s="704"/>
      <c r="J1113" s="704"/>
      <c r="K1113" s="532"/>
      <c r="L1113" s="970"/>
      <c r="M1113" s="970"/>
      <c r="N1113" s="968">
        <v>0</v>
      </c>
      <c r="O1113" s="874"/>
      <c r="P1113" s="960"/>
      <c r="Q1113" s="822"/>
      <c r="R1113" s="961"/>
    </row>
    <row r="1114" spans="1:18" s="444" customFormat="1" ht="57" customHeight="1">
      <c r="A1114" s="672"/>
      <c r="B1114" s="673"/>
      <c r="C1114" s="965"/>
      <c r="D1114" s="442"/>
      <c r="E1114" s="950" t="s">
        <v>467</v>
      </c>
      <c r="F1114" s="955">
        <v>117300</v>
      </c>
      <c r="G1114" s="955">
        <v>111778</v>
      </c>
      <c r="H1114" s="955">
        <v>74715.13</v>
      </c>
      <c r="I1114" s="704"/>
      <c r="J1114" s="704"/>
      <c r="K1114" s="532"/>
      <c r="L1114" s="955">
        <v>0</v>
      </c>
      <c r="M1114" s="955">
        <v>0</v>
      </c>
      <c r="N1114" s="956">
        <v>0</v>
      </c>
      <c r="O1114" s="932">
        <v>0</v>
      </c>
      <c r="P1114" s="960" t="s">
        <v>286</v>
      </c>
      <c r="Q1114" s="822"/>
      <c r="R1114" s="961"/>
    </row>
    <row r="1115" spans="1:18" s="188" customFormat="1" ht="45" customHeight="1">
      <c r="A1115" s="492"/>
      <c r="B1115" s="178"/>
      <c r="C1115" s="571">
        <v>2</v>
      </c>
      <c r="D1115" s="572"/>
      <c r="E1115" s="707" t="s">
        <v>261</v>
      </c>
      <c r="F1115" s="681"/>
      <c r="G1115" s="680"/>
      <c r="H1115" s="680"/>
      <c r="I1115" s="680"/>
      <c r="J1115" s="600"/>
      <c r="K1115" s="680">
        <v>68546</v>
      </c>
      <c r="L1115" s="680">
        <f>L1116+L1135+L1157</f>
        <v>68546</v>
      </c>
      <c r="M1115" s="680">
        <f t="shared" ref="M1115:N1115" si="137">M1116+M1135+M1157</f>
        <v>68546</v>
      </c>
      <c r="N1115" s="680">
        <f t="shared" si="137"/>
        <v>43277.060000000005</v>
      </c>
      <c r="O1115" s="915">
        <f>N1115/M1115</f>
        <v>0.63135792022875159</v>
      </c>
      <c r="P1115" s="778" t="s">
        <v>286</v>
      </c>
    </row>
    <row r="1116" spans="1:18" s="435" customFormat="1" ht="39.9" customHeight="1">
      <c r="A1116" s="705"/>
      <c r="B1116" s="949"/>
      <c r="C1116" s="463"/>
      <c r="D1116" s="448"/>
      <c r="E1116" s="950" t="s">
        <v>435</v>
      </c>
      <c r="F1116" s="951"/>
      <c r="G1116" s="952"/>
      <c r="H1116" s="952"/>
      <c r="I1116" s="952"/>
      <c r="J1116" s="953"/>
      <c r="K1116" s="954"/>
      <c r="L1116" s="955">
        <v>65556</v>
      </c>
      <c r="M1116" s="955">
        <v>65517</v>
      </c>
      <c r="N1116" s="956">
        <f>SUM(N1118:N1134)</f>
        <v>41005.060000000005</v>
      </c>
      <c r="O1116" s="932">
        <f>N1116/M1116</f>
        <v>0.62586901109635673</v>
      </c>
      <c r="P1116" s="957" t="s">
        <v>286</v>
      </c>
      <c r="Q1116" s="823"/>
      <c r="R1116" s="958"/>
    </row>
    <row r="1117" spans="1:18" s="444" customFormat="1" ht="34.5" customHeight="1">
      <c r="A1117" s="672"/>
      <c r="B1117" s="673"/>
      <c r="C1117" s="454"/>
      <c r="D1117" s="442"/>
      <c r="E1117" s="959" t="s">
        <v>16</v>
      </c>
      <c r="F1117" s="703"/>
      <c r="G1117" s="704"/>
      <c r="H1117" s="704"/>
      <c r="I1117" s="704"/>
      <c r="J1117" s="704"/>
      <c r="K1117" s="389"/>
      <c r="L1117" s="666"/>
      <c r="M1117" s="666"/>
      <c r="N1117" s="666"/>
      <c r="O1117" s="874"/>
      <c r="P1117" s="960"/>
      <c r="Q1117" s="822"/>
      <c r="R1117" s="961"/>
    </row>
    <row r="1118" spans="1:18" s="444" customFormat="1" ht="36" customHeight="1">
      <c r="A1118" s="672"/>
      <c r="B1118" s="673"/>
      <c r="C1118" s="454"/>
      <c r="D1118" s="429"/>
      <c r="E1118" s="962" t="s">
        <v>519</v>
      </c>
      <c r="F1118" s="703"/>
      <c r="G1118" s="704"/>
      <c r="H1118" s="704"/>
      <c r="I1118" s="704"/>
      <c r="J1118" s="704"/>
      <c r="K1118" s="389"/>
      <c r="L1118" s="963"/>
      <c r="M1118" s="963"/>
      <c r="N1118" s="964">
        <v>29335.61</v>
      </c>
      <c r="O1118" s="874"/>
      <c r="P1118" s="960"/>
      <c r="Q1118" s="822"/>
      <c r="R1118" s="961"/>
    </row>
    <row r="1119" spans="1:18" s="444" customFormat="1" ht="57" customHeight="1">
      <c r="A1119" s="672"/>
      <c r="B1119" s="673"/>
      <c r="C1119" s="454"/>
      <c r="D1119" s="442"/>
      <c r="E1119" s="962" t="s">
        <v>469</v>
      </c>
      <c r="F1119" s="703"/>
      <c r="G1119" s="704"/>
      <c r="H1119" s="704"/>
      <c r="I1119" s="704"/>
      <c r="J1119" s="704"/>
      <c r="K1119" s="389"/>
      <c r="L1119" s="963"/>
      <c r="M1119" s="963"/>
      <c r="N1119" s="964">
        <v>0</v>
      </c>
      <c r="O1119" s="874"/>
      <c r="P1119" s="960"/>
      <c r="Q1119" s="822"/>
      <c r="R1119" s="961"/>
    </row>
    <row r="1120" spans="1:18" s="444" customFormat="1" ht="36" customHeight="1">
      <c r="A1120" s="672"/>
      <c r="B1120" s="673"/>
      <c r="C1120" s="454"/>
      <c r="D1120" s="442"/>
      <c r="E1120" s="962" t="s">
        <v>477</v>
      </c>
      <c r="F1120" s="703"/>
      <c r="G1120" s="704"/>
      <c r="H1120" s="704"/>
      <c r="I1120" s="704"/>
      <c r="J1120" s="704"/>
      <c r="K1120" s="389"/>
      <c r="L1120" s="963"/>
      <c r="M1120" s="963"/>
      <c r="N1120" s="964">
        <v>0</v>
      </c>
      <c r="O1120" s="874"/>
      <c r="P1120" s="960"/>
      <c r="Q1120" s="822"/>
      <c r="R1120" s="961"/>
    </row>
    <row r="1121" spans="1:18" s="444" customFormat="1" ht="36" customHeight="1">
      <c r="A1121" s="672"/>
      <c r="B1121" s="673"/>
      <c r="C1121" s="454"/>
      <c r="D1121" s="442"/>
      <c r="E1121" s="962" t="s">
        <v>478</v>
      </c>
      <c r="F1121" s="703"/>
      <c r="G1121" s="704"/>
      <c r="H1121" s="704"/>
      <c r="I1121" s="704"/>
      <c r="J1121" s="704"/>
      <c r="K1121" s="389"/>
      <c r="L1121" s="963"/>
      <c r="M1121" s="963"/>
      <c r="N1121" s="964">
        <v>0</v>
      </c>
      <c r="O1121" s="874"/>
      <c r="P1121" s="960"/>
      <c r="Q1121" s="822"/>
      <c r="R1121" s="961"/>
    </row>
    <row r="1122" spans="1:18" s="444" customFormat="1" ht="36" customHeight="1">
      <c r="A1122" s="672"/>
      <c r="B1122" s="673"/>
      <c r="C1122" s="454"/>
      <c r="D1122" s="442"/>
      <c r="E1122" s="962" t="s">
        <v>479</v>
      </c>
      <c r="F1122" s="703"/>
      <c r="G1122" s="704"/>
      <c r="H1122" s="704"/>
      <c r="I1122" s="704"/>
      <c r="J1122" s="704"/>
      <c r="K1122" s="389"/>
      <c r="L1122" s="963"/>
      <c r="M1122" s="963"/>
      <c r="N1122" s="964">
        <v>0</v>
      </c>
      <c r="O1122" s="874"/>
      <c r="P1122" s="960"/>
      <c r="Q1122" s="822"/>
      <c r="R1122" s="961"/>
    </row>
    <row r="1123" spans="1:18" s="444" customFormat="1" ht="36" customHeight="1">
      <c r="A1123" s="672"/>
      <c r="B1123" s="673"/>
      <c r="C1123" s="454"/>
      <c r="D1123" s="442"/>
      <c r="E1123" s="962" t="s">
        <v>437</v>
      </c>
      <c r="F1123" s="703"/>
      <c r="G1123" s="704"/>
      <c r="H1123" s="704"/>
      <c r="I1123" s="704"/>
      <c r="J1123" s="704"/>
      <c r="K1123" s="389"/>
      <c r="L1123" s="963"/>
      <c r="M1123" s="963"/>
      <c r="N1123" s="964">
        <v>0</v>
      </c>
      <c r="O1123" s="874"/>
      <c r="P1123" s="960"/>
      <c r="Q1123" s="822"/>
      <c r="R1123" s="961"/>
    </row>
    <row r="1124" spans="1:18" s="444" customFormat="1" ht="36" customHeight="1">
      <c r="A1124" s="672"/>
      <c r="B1124" s="673"/>
      <c r="C1124" s="454"/>
      <c r="D1124" s="442"/>
      <c r="E1124" s="962" t="s">
        <v>438</v>
      </c>
      <c r="F1124" s="703"/>
      <c r="G1124" s="704"/>
      <c r="H1124" s="704"/>
      <c r="I1124" s="704"/>
      <c r="J1124" s="704"/>
      <c r="K1124" s="389"/>
      <c r="L1124" s="963"/>
      <c r="M1124" s="963"/>
      <c r="N1124" s="964">
        <v>0</v>
      </c>
      <c r="O1124" s="874"/>
      <c r="P1124" s="960"/>
      <c r="Q1124" s="822"/>
      <c r="R1124" s="961"/>
    </row>
    <row r="1125" spans="1:18" s="444" customFormat="1" ht="36" customHeight="1">
      <c r="A1125" s="672"/>
      <c r="B1125" s="673"/>
      <c r="C1125" s="454"/>
      <c r="D1125" s="442"/>
      <c r="E1125" s="962" t="s">
        <v>514</v>
      </c>
      <c r="F1125" s="703"/>
      <c r="G1125" s="704"/>
      <c r="H1125" s="704"/>
      <c r="I1125" s="704"/>
      <c r="J1125" s="704"/>
      <c r="K1125" s="389"/>
      <c r="L1125" s="963"/>
      <c r="M1125" s="963"/>
      <c r="N1125" s="964">
        <v>0</v>
      </c>
      <c r="O1125" s="874"/>
      <c r="P1125" s="960"/>
      <c r="Q1125" s="822"/>
      <c r="R1125" s="961"/>
    </row>
    <row r="1126" spans="1:18" s="444" customFormat="1" ht="36" customHeight="1">
      <c r="A1126" s="672"/>
      <c r="B1126" s="673"/>
      <c r="C1126" s="454"/>
      <c r="D1126" s="442"/>
      <c r="E1126" s="962" t="s">
        <v>439</v>
      </c>
      <c r="F1126" s="703"/>
      <c r="G1126" s="704"/>
      <c r="H1126" s="704"/>
      <c r="I1126" s="704"/>
      <c r="J1126" s="704"/>
      <c r="K1126" s="389"/>
      <c r="L1126" s="963"/>
      <c r="M1126" s="963"/>
      <c r="N1126" s="964">
        <v>0</v>
      </c>
      <c r="O1126" s="874"/>
      <c r="P1126" s="960"/>
      <c r="Q1126" s="822"/>
      <c r="R1126" s="961"/>
    </row>
    <row r="1127" spans="1:18" s="444" customFormat="1" ht="36" customHeight="1">
      <c r="A1127" s="672"/>
      <c r="B1127" s="673"/>
      <c r="C1127" s="454"/>
      <c r="D1127" s="442"/>
      <c r="E1127" s="962" t="s">
        <v>440</v>
      </c>
      <c r="F1127" s="703"/>
      <c r="G1127" s="704"/>
      <c r="H1127" s="704"/>
      <c r="I1127" s="704"/>
      <c r="J1127" s="704"/>
      <c r="K1127" s="389"/>
      <c r="L1127" s="963"/>
      <c r="M1127" s="963"/>
      <c r="N1127" s="964">
        <v>0</v>
      </c>
      <c r="O1127" s="874"/>
      <c r="P1127" s="960"/>
      <c r="Q1127" s="822"/>
      <c r="R1127" s="961"/>
    </row>
    <row r="1128" spans="1:18" s="444" customFormat="1" ht="36" customHeight="1">
      <c r="A1128" s="672"/>
      <c r="B1128" s="673"/>
      <c r="C1128" s="454"/>
      <c r="D1128" s="442"/>
      <c r="E1128" s="962" t="s">
        <v>441</v>
      </c>
      <c r="F1128" s="703"/>
      <c r="G1128" s="704"/>
      <c r="H1128" s="704"/>
      <c r="I1128" s="704"/>
      <c r="J1128" s="704"/>
      <c r="K1128" s="389"/>
      <c r="L1128" s="963"/>
      <c r="M1128" s="963"/>
      <c r="N1128" s="964">
        <v>0</v>
      </c>
      <c r="O1128" s="874"/>
      <c r="P1128" s="960"/>
      <c r="Q1128" s="822"/>
      <c r="R1128" s="961"/>
    </row>
    <row r="1129" spans="1:18" s="444" customFormat="1" ht="35.25" customHeight="1">
      <c r="A1129" s="672"/>
      <c r="B1129" s="673"/>
      <c r="C1129" s="454"/>
      <c r="D1129" s="442"/>
      <c r="E1129" s="962" t="s">
        <v>489</v>
      </c>
      <c r="F1129" s="703"/>
      <c r="G1129" s="704"/>
      <c r="H1129" s="704"/>
      <c r="I1129" s="704"/>
      <c r="J1129" s="704"/>
      <c r="K1129" s="389"/>
      <c r="L1129" s="963"/>
      <c r="M1129" s="963"/>
      <c r="N1129" s="964">
        <v>0</v>
      </c>
      <c r="O1129" s="874"/>
      <c r="P1129" s="960"/>
      <c r="Q1129" s="822"/>
      <c r="R1129" s="961"/>
    </row>
    <row r="1130" spans="1:18" s="444" customFormat="1" ht="36" customHeight="1">
      <c r="A1130" s="672"/>
      <c r="B1130" s="673"/>
      <c r="C1130" s="454"/>
      <c r="D1130" s="442"/>
      <c r="E1130" s="962" t="s">
        <v>442</v>
      </c>
      <c r="F1130" s="703"/>
      <c r="G1130" s="704"/>
      <c r="H1130" s="704"/>
      <c r="I1130" s="704"/>
      <c r="J1130" s="704"/>
      <c r="K1130" s="389"/>
      <c r="L1130" s="963"/>
      <c r="M1130" s="963"/>
      <c r="N1130" s="964">
        <v>0</v>
      </c>
      <c r="O1130" s="874"/>
      <c r="P1130" s="960"/>
      <c r="Q1130" s="822"/>
      <c r="R1130" s="961"/>
    </row>
    <row r="1131" spans="1:18" s="444" customFormat="1" ht="36" customHeight="1">
      <c r="A1131" s="672"/>
      <c r="B1131" s="673"/>
      <c r="C1131" s="454"/>
      <c r="D1131" s="442"/>
      <c r="E1131" s="962" t="s">
        <v>443</v>
      </c>
      <c r="F1131" s="703"/>
      <c r="G1131" s="704"/>
      <c r="H1131" s="704"/>
      <c r="I1131" s="704"/>
      <c r="J1131" s="704"/>
      <c r="K1131" s="389"/>
      <c r="L1131" s="963"/>
      <c r="M1131" s="963"/>
      <c r="N1131" s="964">
        <v>4926.1499999999996</v>
      </c>
      <c r="O1131" s="874"/>
      <c r="P1131" s="960"/>
      <c r="Q1131" s="822"/>
      <c r="R1131" s="961"/>
    </row>
    <row r="1132" spans="1:18" s="444" customFormat="1" ht="36" customHeight="1">
      <c r="A1132" s="672"/>
      <c r="B1132" s="673"/>
      <c r="C1132" s="454"/>
      <c r="D1132" s="442"/>
      <c r="E1132" s="962" t="s">
        <v>482</v>
      </c>
      <c r="F1132" s="703"/>
      <c r="G1132" s="704"/>
      <c r="H1132" s="704"/>
      <c r="I1132" s="704"/>
      <c r="J1132" s="704"/>
      <c r="K1132" s="389"/>
      <c r="L1132" s="963"/>
      <c r="M1132" s="963"/>
      <c r="N1132" s="964">
        <v>0</v>
      </c>
      <c r="O1132" s="874"/>
      <c r="P1132" s="960"/>
      <c r="Q1132" s="822"/>
      <c r="R1132" s="961"/>
    </row>
    <row r="1133" spans="1:18" s="444" customFormat="1" ht="36" customHeight="1">
      <c r="A1133" s="672"/>
      <c r="B1133" s="673"/>
      <c r="C1133" s="454"/>
      <c r="D1133" s="442"/>
      <c r="E1133" s="962" t="s">
        <v>485</v>
      </c>
      <c r="F1133" s="703"/>
      <c r="G1133" s="704"/>
      <c r="H1133" s="704"/>
      <c r="I1133" s="704"/>
      <c r="J1133" s="704"/>
      <c r="K1133" s="389"/>
      <c r="L1133" s="963"/>
      <c r="M1133" s="963"/>
      <c r="N1133" s="964">
        <v>0</v>
      </c>
      <c r="O1133" s="874"/>
      <c r="P1133" s="960"/>
      <c r="Q1133" s="822"/>
      <c r="R1133" s="961"/>
    </row>
    <row r="1134" spans="1:18" s="444" customFormat="1" ht="36" customHeight="1">
      <c r="A1134" s="672"/>
      <c r="B1134" s="673"/>
      <c r="C1134" s="454"/>
      <c r="D1134" s="442"/>
      <c r="E1134" s="962" t="s">
        <v>445</v>
      </c>
      <c r="F1134" s="703"/>
      <c r="G1134" s="704"/>
      <c r="H1134" s="704"/>
      <c r="I1134" s="704"/>
      <c r="J1134" s="704"/>
      <c r="K1134" s="389"/>
      <c r="L1134" s="963"/>
      <c r="M1134" s="963"/>
      <c r="N1134" s="964">
        <v>6743.3</v>
      </c>
      <c r="O1134" s="874"/>
      <c r="P1134" s="960"/>
      <c r="Q1134" s="822"/>
      <c r="R1134" s="961"/>
    </row>
    <row r="1135" spans="1:18" s="444" customFormat="1" ht="57" customHeight="1">
      <c r="A1135" s="672"/>
      <c r="B1135" s="673"/>
      <c r="C1135" s="965"/>
      <c r="D1135" s="442"/>
      <c r="E1135" s="950" t="s">
        <v>446</v>
      </c>
      <c r="F1135" s="955">
        <v>117300</v>
      </c>
      <c r="G1135" s="955">
        <v>111778</v>
      </c>
      <c r="H1135" s="955">
        <v>74715.13</v>
      </c>
      <c r="I1135" s="704"/>
      <c r="J1135" s="704"/>
      <c r="K1135" s="532"/>
      <c r="L1135" s="955">
        <v>2990</v>
      </c>
      <c r="M1135" s="955">
        <v>3029</v>
      </c>
      <c r="N1135" s="956">
        <f>SUM(N1136:N1156)</f>
        <v>2272</v>
      </c>
      <c r="O1135" s="932">
        <f>N1135/M1135</f>
        <v>0.75008253549026083</v>
      </c>
      <c r="P1135" s="960" t="s">
        <v>286</v>
      </c>
      <c r="Q1135" s="822"/>
      <c r="R1135" s="961"/>
    </row>
    <row r="1136" spans="1:18" s="444" customFormat="1" ht="60.75" customHeight="1">
      <c r="A1136" s="672"/>
      <c r="B1136" s="673"/>
      <c r="C1136" s="965"/>
      <c r="D1136" s="442"/>
      <c r="E1136" s="966" t="s">
        <v>447</v>
      </c>
      <c r="F1136" s="967"/>
      <c r="G1136" s="967"/>
      <c r="H1136" s="967">
        <v>0</v>
      </c>
      <c r="I1136" s="704"/>
      <c r="J1136" s="704"/>
      <c r="K1136" s="532"/>
      <c r="L1136" s="967"/>
      <c r="M1136" s="967"/>
      <c r="N1136" s="968">
        <v>0</v>
      </c>
      <c r="O1136" s="874"/>
      <c r="P1136" s="960"/>
      <c r="Q1136" s="822"/>
      <c r="R1136" s="961"/>
    </row>
    <row r="1137" spans="1:18" s="444" customFormat="1" ht="36" customHeight="1">
      <c r="A1137" s="672"/>
      <c r="B1137" s="673"/>
      <c r="C1137" s="965"/>
      <c r="D1137" s="442"/>
      <c r="E1137" s="966" t="s">
        <v>448</v>
      </c>
      <c r="F1137" s="967"/>
      <c r="G1137" s="967"/>
      <c r="H1137" s="967">
        <v>0</v>
      </c>
      <c r="I1137" s="704"/>
      <c r="J1137" s="704"/>
      <c r="K1137" s="532"/>
      <c r="L1137" s="967"/>
      <c r="M1137" s="967"/>
      <c r="N1137" s="968">
        <v>0</v>
      </c>
      <c r="O1137" s="874"/>
      <c r="P1137" s="960"/>
      <c r="Q1137" s="822"/>
      <c r="R1137" s="961"/>
    </row>
    <row r="1138" spans="1:18" s="444" customFormat="1" ht="36" customHeight="1">
      <c r="A1138" s="672"/>
      <c r="B1138" s="673"/>
      <c r="C1138" s="965"/>
      <c r="D1138" s="442"/>
      <c r="E1138" s="966" t="s">
        <v>449</v>
      </c>
      <c r="F1138" s="967"/>
      <c r="G1138" s="967"/>
      <c r="H1138" s="967">
        <v>0</v>
      </c>
      <c r="I1138" s="704"/>
      <c r="J1138" s="704"/>
      <c r="K1138" s="532"/>
      <c r="L1138" s="967"/>
      <c r="M1138" s="967"/>
      <c r="N1138" s="968">
        <v>0</v>
      </c>
      <c r="O1138" s="874"/>
      <c r="P1138" s="960"/>
      <c r="Q1138" s="822"/>
      <c r="R1138" s="961"/>
    </row>
    <row r="1139" spans="1:18" s="444" customFormat="1" ht="36" customHeight="1">
      <c r="A1139" s="672"/>
      <c r="B1139" s="673"/>
      <c r="C1139" s="965"/>
      <c r="D1139" s="442"/>
      <c r="E1139" s="966" t="s">
        <v>450</v>
      </c>
      <c r="F1139" s="967"/>
      <c r="G1139" s="967"/>
      <c r="H1139" s="967">
        <v>0</v>
      </c>
      <c r="I1139" s="704"/>
      <c r="J1139" s="704"/>
      <c r="K1139" s="532"/>
      <c r="L1139" s="967"/>
      <c r="M1139" s="967"/>
      <c r="N1139" s="968">
        <v>0</v>
      </c>
      <c r="O1139" s="874"/>
      <c r="P1139" s="960"/>
      <c r="Q1139" s="822"/>
      <c r="R1139" s="961"/>
    </row>
    <row r="1140" spans="1:18" s="444" customFormat="1" ht="36" customHeight="1">
      <c r="A1140" s="672"/>
      <c r="B1140" s="673"/>
      <c r="C1140" s="965"/>
      <c r="D1140" s="442"/>
      <c r="E1140" s="966" t="s">
        <v>451</v>
      </c>
      <c r="F1140" s="967"/>
      <c r="G1140" s="967"/>
      <c r="H1140" s="967">
        <v>0</v>
      </c>
      <c r="I1140" s="704"/>
      <c r="J1140" s="704"/>
      <c r="K1140" s="532"/>
      <c r="L1140" s="967"/>
      <c r="M1140" s="967"/>
      <c r="N1140" s="968">
        <v>0</v>
      </c>
      <c r="O1140" s="874"/>
      <c r="P1140" s="960"/>
      <c r="Q1140" s="822"/>
      <c r="R1140" s="961"/>
    </row>
    <row r="1141" spans="1:18" s="444" customFormat="1" ht="38.25" customHeight="1">
      <c r="A1141" s="672"/>
      <c r="B1141" s="673"/>
      <c r="C1141" s="965"/>
      <c r="D1141" s="442"/>
      <c r="E1141" s="969" t="s">
        <v>518</v>
      </c>
      <c r="F1141" s="967"/>
      <c r="G1141" s="967"/>
      <c r="H1141" s="967">
        <v>4300</v>
      </c>
      <c r="I1141" s="704"/>
      <c r="J1141" s="704"/>
      <c r="K1141" s="532"/>
      <c r="L1141" s="967"/>
      <c r="M1141" s="967"/>
      <c r="N1141" s="968">
        <v>0</v>
      </c>
      <c r="O1141" s="874"/>
      <c r="P1141" s="960"/>
      <c r="Q1141" s="822"/>
      <c r="R1141" s="961"/>
    </row>
    <row r="1142" spans="1:18" s="444" customFormat="1" ht="84" customHeight="1">
      <c r="A1142" s="672"/>
      <c r="B1142" s="673"/>
      <c r="C1142" s="965"/>
      <c r="D1142" s="442"/>
      <c r="E1142" s="966" t="s">
        <v>453</v>
      </c>
      <c r="F1142" s="967"/>
      <c r="G1142" s="967"/>
      <c r="H1142" s="967">
        <v>0</v>
      </c>
      <c r="I1142" s="704"/>
      <c r="J1142" s="704"/>
      <c r="K1142" s="532"/>
      <c r="L1142" s="967"/>
      <c r="M1142" s="967"/>
      <c r="N1142" s="968">
        <v>0</v>
      </c>
      <c r="O1142" s="874"/>
      <c r="P1142" s="960"/>
      <c r="Q1142" s="822"/>
      <c r="R1142" s="961"/>
    </row>
    <row r="1143" spans="1:18" s="444" customFormat="1" ht="61.5" customHeight="1">
      <c r="A1143" s="672"/>
      <c r="B1143" s="673"/>
      <c r="C1143" s="965"/>
      <c r="D1143" s="442"/>
      <c r="E1143" s="966" t="s">
        <v>454</v>
      </c>
      <c r="F1143" s="967"/>
      <c r="G1143" s="967"/>
      <c r="H1143" s="967">
        <v>0</v>
      </c>
      <c r="I1143" s="704"/>
      <c r="J1143" s="704"/>
      <c r="K1143" s="532"/>
      <c r="L1143" s="967"/>
      <c r="M1143" s="967"/>
      <c r="N1143" s="968">
        <v>0</v>
      </c>
      <c r="O1143" s="874"/>
      <c r="P1143" s="960"/>
      <c r="Q1143" s="822"/>
      <c r="R1143" s="961"/>
    </row>
    <row r="1144" spans="1:18" s="444" customFormat="1" ht="36" customHeight="1">
      <c r="A1144" s="672"/>
      <c r="B1144" s="673"/>
      <c r="C1144" s="965"/>
      <c r="D1144" s="442"/>
      <c r="E1144" s="966" t="s">
        <v>455</v>
      </c>
      <c r="F1144" s="967"/>
      <c r="G1144" s="967"/>
      <c r="H1144" s="967">
        <v>0</v>
      </c>
      <c r="I1144" s="704"/>
      <c r="J1144" s="704"/>
      <c r="K1144" s="532"/>
      <c r="L1144" s="967"/>
      <c r="M1144" s="967"/>
      <c r="N1144" s="968">
        <v>0</v>
      </c>
      <c r="O1144" s="874"/>
      <c r="P1144" s="960"/>
      <c r="Q1144" s="822"/>
      <c r="R1144" s="961"/>
    </row>
    <row r="1145" spans="1:18" s="444" customFormat="1" ht="54.75" customHeight="1">
      <c r="A1145" s="672"/>
      <c r="B1145" s="673"/>
      <c r="C1145" s="965"/>
      <c r="D1145" s="442"/>
      <c r="E1145" s="966" t="s">
        <v>456</v>
      </c>
      <c r="F1145" s="967"/>
      <c r="G1145" s="967"/>
      <c r="H1145" s="967">
        <v>0</v>
      </c>
      <c r="I1145" s="704"/>
      <c r="J1145" s="704"/>
      <c r="K1145" s="532"/>
      <c r="L1145" s="967"/>
      <c r="M1145" s="967"/>
      <c r="N1145" s="968">
        <v>0</v>
      </c>
      <c r="O1145" s="874"/>
      <c r="P1145" s="960"/>
      <c r="Q1145" s="822"/>
      <c r="R1145" s="961"/>
    </row>
    <row r="1146" spans="1:18" s="444" customFormat="1" ht="36" customHeight="1">
      <c r="A1146" s="672"/>
      <c r="B1146" s="673"/>
      <c r="C1146" s="965"/>
      <c r="D1146" s="442"/>
      <c r="E1146" s="966" t="s">
        <v>457</v>
      </c>
      <c r="F1146" s="967"/>
      <c r="G1146" s="967"/>
      <c r="H1146" s="967">
        <v>0</v>
      </c>
      <c r="I1146" s="704"/>
      <c r="J1146" s="704"/>
      <c r="K1146" s="532"/>
      <c r="L1146" s="967"/>
      <c r="M1146" s="967"/>
      <c r="N1146" s="968">
        <v>0</v>
      </c>
      <c r="O1146" s="874"/>
      <c r="P1146" s="960"/>
      <c r="Q1146" s="822"/>
      <c r="R1146" s="961"/>
    </row>
    <row r="1147" spans="1:18" s="444" customFormat="1" ht="54.75" customHeight="1">
      <c r="A1147" s="672"/>
      <c r="B1147" s="673"/>
      <c r="C1147" s="965"/>
      <c r="D1147" s="442"/>
      <c r="E1147" s="966" t="s">
        <v>458</v>
      </c>
      <c r="F1147" s="967"/>
      <c r="G1147" s="967"/>
      <c r="H1147" s="967">
        <v>0</v>
      </c>
      <c r="I1147" s="704"/>
      <c r="J1147" s="704"/>
      <c r="K1147" s="532"/>
      <c r="L1147" s="967"/>
      <c r="M1147" s="967"/>
      <c r="N1147" s="968">
        <v>0</v>
      </c>
      <c r="O1147" s="874"/>
      <c r="P1147" s="960"/>
      <c r="Q1147" s="822"/>
      <c r="R1147" s="961"/>
    </row>
    <row r="1148" spans="1:18" s="444" customFormat="1" ht="36" customHeight="1">
      <c r="A1148" s="672"/>
      <c r="B1148" s="673"/>
      <c r="C1148" s="965"/>
      <c r="D1148" s="442"/>
      <c r="E1148" s="966" t="s">
        <v>459</v>
      </c>
      <c r="F1148" s="970"/>
      <c r="G1148" s="970"/>
      <c r="H1148" s="967">
        <v>32231.32</v>
      </c>
      <c r="I1148" s="704"/>
      <c r="J1148" s="704"/>
      <c r="K1148" s="532"/>
      <c r="L1148" s="970"/>
      <c r="M1148" s="970"/>
      <c r="N1148" s="968">
        <v>0</v>
      </c>
      <c r="O1148" s="874"/>
      <c r="P1148" s="960"/>
      <c r="Q1148" s="822"/>
      <c r="R1148" s="961"/>
    </row>
    <row r="1149" spans="1:18" s="444" customFormat="1" ht="36" customHeight="1">
      <c r="A1149" s="672"/>
      <c r="B1149" s="673"/>
      <c r="C1149" s="965"/>
      <c r="D1149" s="442"/>
      <c r="E1149" s="966" t="s">
        <v>460</v>
      </c>
      <c r="F1149" s="970"/>
      <c r="G1149" s="970"/>
      <c r="H1149" s="967">
        <v>0</v>
      </c>
      <c r="I1149" s="704"/>
      <c r="J1149" s="704"/>
      <c r="K1149" s="532"/>
      <c r="L1149" s="970"/>
      <c r="M1149" s="970"/>
      <c r="N1149" s="968">
        <v>0</v>
      </c>
      <c r="O1149" s="874"/>
      <c r="P1149" s="960"/>
      <c r="Q1149" s="822"/>
      <c r="R1149" s="961"/>
    </row>
    <row r="1150" spans="1:18" s="444" customFormat="1" ht="36" customHeight="1">
      <c r="A1150" s="672"/>
      <c r="B1150" s="673"/>
      <c r="C1150" s="965"/>
      <c r="D1150" s="442"/>
      <c r="E1150" s="966" t="s">
        <v>461</v>
      </c>
      <c r="F1150" s="970"/>
      <c r="G1150" s="970"/>
      <c r="H1150" s="967">
        <v>692</v>
      </c>
      <c r="I1150" s="704"/>
      <c r="J1150" s="704"/>
      <c r="K1150" s="532"/>
      <c r="L1150" s="970"/>
      <c r="M1150" s="970"/>
      <c r="N1150" s="968">
        <v>0</v>
      </c>
      <c r="O1150" s="874"/>
      <c r="P1150" s="960"/>
      <c r="Q1150" s="822"/>
      <c r="R1150" s="961"/>
    </row>
    <row r="1151" spans="1:18" s="444" customFormat="1" ht="36" customHeight="1">
      <c r="A1151" s="672"/>
      <c r="B1151" s="673"/>
      <c r="C1151" s="965"/>
      <c r="D1151" s="442"/>
      <c r="E1151" s="966" t="s">
        <v>462</v>
      </c>
      <c r="F1151" s="970"/>
      <c r="G1151" s="970"/>
      <c r="H1151" s="967">
        <v>35817</v>
      </c>
      <c r="I1151" s="704"/>
      <c r="J1151" s="704"/>
      <c r="K1151" s="532"/>
      <c r="L1151" s="970"/>
      <c r="M1151" s="970"/>
      <c r="N1151" s="968">
        <v>2272</v>
      </c>
      <c r="O1151" s="874"/>
      <c r="P1151" s="960"/>
      <c r="Q1151" s="822"/>
      <c r="R1151" s="961"/>
    </row>
    <row r="1152" spans="1:18" s="444" customFormat="1" ht="36" customHeight="1">
      <c r="A1152" s="672"/>
      <c r="B1152" s="673"/>
      <c r="C1152" s="965"/>
      <c r="D1152" s="442"/>
      <c r="E1152" s="966" t="s">
        <v>463</v>
      </c>
      <c r="F1152" s="970"/>
      <c r="G1152" s="970"/>
      <c r="H1152" s="967">
        <v>0</v>
      </c>
      <c r="I1152" s="704"/>
      <c r="J1152" s="704"/>
      <c r="K1152" s="532"/>
      <c r="L1152" s="970"/>
      <c r="M1152" s="970"/>
      <c r="N1152" s="968">
        <v>0</v>
      </c>
      <c r="O1152" s="874"/>
      <c r="P1152" s="960"/>
      <c r="Q1152" s="822"/>
      <c r="R1152" s="961"/>
    </row>
    <row r="1153" spans="1:18" s="444" customFormat="1" ht="57.75" customHeight="1">
      <c r="A1153" s="672"/>
      <c r="B1153" s="673"/>
      <c r="C1153" s="965"/>
      <c r="D1153" s="442"/>
      <c r="E1153" s="966" t="s">
        <v>464</v>
      </c>
      <c r="F1153" s="970"/>
      <c r="G1153" s="970"/>
      <c r="H1153" s="967">
        <v>0</v>
      </c>
      <c r="I1153" s="704"/>
      <c r="J1153" s="704"/>
      <c r="K1153" s="532"/>
      <c r="L1153" s="970"/>
      <c r="M1153" s="970"/>
      <c r="N1153" s="968">
        <v>0</v>
      </c>
      <c r="O1153" s="874"/>
      <c r="P1153" s="960"/>
      <c r="Q1153" s="822"/>
      <c r="R1153" s="961"/>
    </row>
    <row r="1154" spans="1:18" s="444" customFormat="1" ht="36" customHeight="1">
      <c r="A1154" s="672"/>
      <c r="B1154" s="673"/>
      <c r="C1154" s="965"/>
      <c r="D1154" s="442"/>
      <c r="E1154" s="966" t="s">
        <v>465</v>
      </c>
      <c r="F1154" s="970"/>
      <c r="G1154" s="970"/>
      <c r="H1154" s="967">
        <v>0</v>
      </c>
      <c r="I1154" s="704"/>
      <c r="J1154" s="704"/>
      <c r="K1154" s="532"/>
      <c r="L1154" s="970"/>
      <c r="M1154" s="970"/>
      <c r="N1154" s="968">
        <v>0</v>
      </c>
      <c r="O1154" s="874"/>
      <c r="P1154" s="960"/>
      <c r="Q1154" s="822"/>
      <c r="R1154" s="961"/>
    </row>
    <row r="1155" spans="1:18" s="444" customFormat="1" ht="36" customHeight="1">
      <c r="A1155" s="672"/>
      <c r="B1155" s="673"/>
      <c r="C1155" s="965"/>
      <c r="D1155" s="442"/>
      <c r="E1155" s="966" t="s">
        <v>466</v>
      </c>
      <c r="F1155" s="970"/>
      <c r="G1155" s="970"/>
      <c r="H1155" s="967">
        <v>0</v>
      </c>
      <c r="I1155" s="704"/>
      <c r="J1155" s="704"/>
      <c r="K1155" s="532"/>
      <c r="L1155" s="970"/>
      <c r="M1155" s="970"/>
      <c r="N1155" s="968">
        <v>0</v>
      </c>
      <c r="O1155" s="874"/>
      <c r="P1155" s="960"/>
      <c r="Q1155" s="822"/>
      <c r="R1155" s="961"/>
    </row>
    <row r="1156" spans="1:18" s="444" customFormat="1" ht="36" customHeight="1">
      <c r="A1156" s="672"/>
      <c r="B1156" s="673"/>
      <c r="C1156" s="965"/>
      <c r="D1156" s="442"/>
      <c r="E1156" s="966" t="s">
        <v>492</v>
      </c>
      <c r="F1156" s="970"/>
      <c r="G1156" s="970"/>
      <c r="H1156" s="967">
        <v>1674.81</v>
      </c>
      <c r="I1156" s="704"/>
      <c r="J1156" s="704"/>
      <c r="K1156" s="532"/>
      <c r="L1156" s="970"/>
      <c r="M1156" s="970"/>
      <c r="N1156" s="968">
        <v>0</v>
      </c>
      <c r="O1156" s="874"/>
      <c r="P1156" s="960"/>
      <c r="Q1156" s="822"/>
      <c r="R1156" s="961"/>
    </row>
    <row r="1157" spans="1:18" s="444" customFormat="1" ht="57" customHeight="1">
      <c r="A1157" s="672"/>
      <c r="B1157" s="673"/>
      <c r="C1157" s="965"/>
      <c r="D1157" s="442"/>
      <c r="E1157" s="950" t="s">
        <v>467</v>
      </c>
      <c r="F1157" s="955">
        <v>117300</v>
      </c>
      <c r="G1157" s="955">
        <v>111778</v>
      </c>
      <c r="H1157" s="955">
        <v>74715.13</v>
      </c>
      <c r="I1157" s="704"/>
      <c r="J1157" s="704"/>
      <c r="K1157" s="532"/>
      <c r="L1157" s="955">
        <v>0</v>
      </c>
      <c r="M1157" s="955">
        <v>0</v>
      </c>
      <c r="N1157" s="955">
        <v>0</v>
      </c>
      <c r="O1157" s="932">
        <v>0</v>
      </c>
      <c r="P1157" s="960" t="s">
        <v>286</v>
      </c>
      <c r="Q1157" s="822"/>
      <c r="R1157" s="961"/>
    </row>
    <row r="1158" spans="1:18" s="188" customFormat="1" ht="45" customHeight="1">
      <c r="A1158" s="492"/>
      <c r="B1158" s="178"/>
      <c r="C1158" s="571">
        <v>3</v>
      </c>
      <c r="D1158" s="572"/>
      <c r="E1158" s="707" t="s">
        <v>212</v>
      </c>
      <c r="F1158" s="681"/>
      <c r="G1158" s="680"/>
      <c r="H1158" s="680"/>
      <c r="I1158" s="680"/>
      <c r="J1158" s="600"/>
      <c r="K1158" s="680">
        <f>100608</f>
        <v>100608</v>
      </c>
      <c r="L1158" s="680">
        <f>L1159+L1178+L1200</f>
        <v>100608</v>
      </c>
      <c r="M1158" s="680">
        <f t="shared" ref="M1158:N1158" si="138">M1159+M1178+M1200</f>
        <v>100608</v>
      </c>
      <c r="N1158" s="680">
        <f t="shared" si="138"/>
        <v>58630.950000000004</v>
      </c>
      <c r="O1158" s="915">
        <f>N1158/M1158</f>
        <v>0.58276628101145045</v>
      </c>
      <c r="P1158" s="778" t="s">
        <v>286</v>
      </c>
    </row>
    <row r="1159" spans="1:18" s="435" customFormat="1" ht="39.9" customHeight="1">
      <c r="A1159" s="705"/>
      <c r="B1159" s="949"/>
      <c r="C1159" s="463"/>
      <c r="D1159" s="448"/>
      <c r="E1159" s="950" t="s">
        <v>435</v>
      </c>
      <c r="F1159" s="951"/>
      <c r="G1159" s="952"/>
      <c r="H1159" s="952"/>
      <c r="I1159" s="952"/>
      <c r="J1159" s="953"/>
      <c r="K1159" s="954"/>
      <c r="L1159" s="955">
        <v>94629</v>
      </c>
      <c r="M1159" s="955">
        <v>94551</v>
      </c>
      <c r="N1159" s="956">
        <f>SUM(N1161:N1177)</f>
        <v>54087.950000000004</v>
      </c>
      <c r="O1159" s="932">
        <f>N1159/M1159</f>
        <v>0.57205053357447311</v>
      </c>
      <c r="P1159" s="957" t="s">
        <v>286</v>
      </c>
      <c r="Q1159" s="823"/>
      <c r="R1159" s="958"/>
    </row>
    <row r="1160" spans="1:18" s="444" customFormat="1" ht="34.5" customHeight="1">
      <c r="A1160" s="672"/>
      <c r="B1160" s="673"/>
      <c r="C1160" s="454"/>
      <c r="D1160" s="442"/>
      <c r="E1160" s="959" t="s">
        <v>16</v>
      </c>
      <c r="F1160" s="703"/>
      <c r="G1160" s="704"/>
      <c r="H1160" s="704"/>
      <c r="I1160" s="704"/>
      <c r="J1160" s="704"/>
      <c r="K1160" s="389"/>
      <c r="L1160" s="666"/>
      <c r="M1160" s="666"/>
      <c r="N1160" s="666"/>
      <c r="O1160" s="874"/>
      <c r="P1160" s="960"/>
      <c r="Q1160" s="822"/>
      <c r="R1160" s="961"/>
    </row>
    <row r="1161" spans="1:18" s="444" customFormat="1" ht="36" customHeight="1">
      <c r="A1161" s="672"/>
      <c r="B1161" s="673"/>
      <c r="C1161" s="454"/>
      <c r="D1161" s="429"/>
      <c r="E1161" s="962" t="s">
        <v>530</v>
      </c>
      <c r="F1161" s="703"/>
      <c r="G1161" s="704"/>
      <c r="H1161" s="704"/>
      <c r="I1161" s="704"/>
      <c r="J1161" s="704"/>
      <c r="K1161" s="389"/>
      <c r="L1161" s="963"/>
      <c r="M1161" s="963"/>
      <c r="N1161" s="964">
        <v>39378.51</v>
      </c>
      <c r="O1161" s="874"/>
      <c r="P1161" s="960"/>
      <c r="Q1161" s="822"/>
      <c r="R1161" s="961"/>
    </row>
    <row r="1162" spans="1:18" s="444" customFormat="1" ht="57" customHeight="1">
      <c r="A1162" s="672"/>
      <c r="B1162" s="673"/>
      <c r="C1162" s="454"/>
      <c r="D1162" s="442"/>
      <c r="E1162" s="962" t="s">
        <v>469</v>
      </c>
      <c r="F1162" s="703"/>
      <c r="G1162" s="704"/>
      <c r="H1162" s="704"/>
      <c r="I1162" s="704"/>
      <c r="J1162" s="704"/>
      <c r="K1162" s="389"/>
      <c r="L1162" s="963"/>
      <c r="M1162" s="963"/>
      <c r="N1162" s="964">
        <v>0</v>
      </c>
      <c r="O1162" s="874"/>
      <c r="P1162" s="960"/>
      <c r="Q1162" s="822"/>
      <c r="R1162" s="961"/>
    </row>
    <row r="1163" spans="1:18" s="444" customFormat="1" ht="60.75" customHeight="1">
      <c r="A1163" s="672"/>
      <c r="B1163" s="673"/>
      <c r="C1163" s="454"/>
      <c r="D1163" s="442"/>
      <c r="E1163" s="962" t="s">
        <v>531</v>
      </c>
      <c r="F1163" s="703"/>
      <c r="G1163" s="704"/>
      <c r="H1163" s="704"/>
      <c r="I1163" s="704"/>
      <c r="J1163" s="704"/>
      <c r="K1163" s="389"/>
      <c r="L1163" s="963"/>
      <c r="M1163" s="963"/>
      <c r="N1163" s="964">
        <v>528.94000000000005</v>
      </c>
      <c r="O1163" s="874"/>
      <c r="P1163" s="960"/>
      <c r="Q1163" s="822"/>
      <c r="R1163" s="961"/>
    </row>
    <row r="1164" spans="1:18" s="444" customFormat="1" ht="36" customHeight="1">
      <c r="A1164" s="672"/>
      <c r="B1164" s="673"/>
      <c r="C1164" s="454"/>
      <c r="D1164" s="442"/>
      <c r="E1164" s="962" t="s">
        <v>478</v>
      </c>
      <c r="F1164" s="703"/>
      <c r="G1164" s="704"/>
      <c r="H1164" s="704"/>
      <c r="I1164" s="704"/>
      <c r="J1164" s="704"/>
      <c r="K1164" s="389"/>
      <c r="L1164" s="963"/>
      <c r="M1164" s="963"/>
      <c r="N1164" s="964">
        <v>0</v>
      </c>
      <c r="O1164" s="874"/>
      <c r="P1164" s="960"/>
      <c r="Q1164" s="822"/>
      <c r="R1164" s="961"/>
    </row>
    <row r="1165" spans="1:18" s="444" customFormat="1" ht="36" customHeight="1">
      <c r="A1165" s="672"/>
      <c r="B1165" s="673"/>
      <c r="C1165" s="454"/>
      <c r="D1165" s="442"/>
      <c r="E1165" s="962" t="s">
        <v>479</v>
      </c>
      <c r="F1165" s="703"/>
      <c r="G1165" s="704"/>
      <c r="H1165" s="704"/>
      <c r="I1165" s="704"/>
      <c r="J1165" s="704"/>
      <c r="K1165" s="389"/>
      <c r="L1165" s="963"/>
      <c r="M1165" s="963"/>
      <c r="N1165" s="964">
        <v>0</v>
      </c>
      <c r="O1165" s="874"/>
      <c r="P1165" s="960"/>
      <c r="Q1165" s="822"/>
      <c r="R1165" s="961"/>
    </row>
    <row r="1166" spans="1:18" s="444" customFormat="1" ht="36" customHeight="1">
      <c r="A1166" s="672"/>
      <c r="B1166" s="673"/>
      <c r="C1166" s="454"/>
      <c r="D1166" s="442"/>
      <c r="E1166" s="962" t="s">
        <v>437</v>
      </c>
      <c r="F1166" s="703"/>
      <c r="G1166" s="704"/>
      <c r="H1166" s="704"/>
      <c r="I1166" s="704"/>
      <c r="J1166" s="704"/>
      <c r="K1166" s="389"/>
      <c r="L1166" s="963"/>
      <c r="M1166" s="963"/>
      <c r="N1166" s="964">
        <v>0</v>
      </c>
      <c r="O1166" s="874"/>
      <c r="P1166" s="960"/>
      <c r="Q1166" s="822"/>
      <c r="R1166" s="961"/>
    </row>
    <row r="1167" spans="1:18" s="444" customFormat="1" ht="36" customHeight="1">
      <c r="A1167" s="672"/>
      <c r="B1167" s="673"/>
      <c r="C1167" s="454"/>
      <c r="D1167" s="442"/>
      <c r="E1167" s="962" t="s">
        <v>438</v>
      </c>
      <c r="F1167" s="703"/>
      <c r="G1167" s="704"/>
      <c r="H1167" s="704"/>
      <c r="I1167" s="704"/>
      <c r="J1167" s="704"/>
      <c r="K1167" s="389"/>
      <c r="L1167" s="963"/>
      <c r="M1167" s="963"/>
      <c r="N1167" s="964">
        <v>0</v>
      </c>
      <c r="O1167" s="874"/>
      <c r="P1167" s="960"/>
      <c r="Q1167" s="822"/>
      <c r="R1167" s="961"/>
    </row>
    <row r="1168" spans="1:18" s="444" customFormat="1" ht="36" customHeight="1">
      <c r="A1168" s="672"/>
      <c r="B1168" s="673"/>
      <c r="C1168" s="454"/>
      <c r="D1168" s="442"/>
      <c r="E1168" s="962" t="s">
        <v>514</v>
      </c>
      <c r="F1168" s="703"/>
      <c r="G1168" s="704"/>
      <c r="H1168" s="704"/>
      <c r="I1168" s="704"/>
      <c r="J1168" s="704"/>
      <c r="K1168" s="389"/>
      <c r="L1168" s="963"/>
      <c r="M1168" s="963"/>
      <c r="N1168" s="964">
        <v>0</v>
      </c>
      <c r="O1168" s="874"/>
      <c r="P1168" s="960"/>
      <c r="Q1168" s="822"/>
      <c r="R1168" s="961"/>
    </row>
    <row r="1169" spans="1:18" s="444" customFormat="1" ht="36" customHeight="1">
      <c r="A1169" s="672"/>
      <c r="B1169" s="673"/>
      <c r="C1169" s="454"/>
      <c r="D1169" s="442"/>
      <c r="E1169" s="962" t="s">
        <v>439</v>
      </c>
      <c r="F1169" s="703"/>
      <c r="G1169" s="704"/>
      <c r="H1169" s="704"/>
      <c r="I1169" s="704"/>
      <c r="J1169" s="704"/>
      <c r="K1169" s="389"/>
      <c r="L1169" s="963"/>
      <c r="M1169" s="963"/>
      <c r="N1169" s="964">
        <v>0</v>
      </c>
      <c r="O1169" s="874"/>
      <c r="P1169" s="960"/>
      <c r="Q1169" s="822"/>
      <c r="R1169" s="961"/>
    </row>
    <row r="1170" spans="1:18" s="444" customFormat="1" ht="36" customHeight="1">
      <c r="A1170" s="672"/>
      <c r="B1170" s="673"/>
      <c r="C1170" s="454"/>
      <c r="D1170" s="442"/>
      <c r="E1170" s="962" t="s">
        <v>440</v>
      </c>
      <c r="F1170" s="703"/>
      <c r="G1170" s="704"/>
      <c r="H1170" s="704"/>
      <c r="I1170" s="704"/>
      <c r="J1170" s="704"/>
      <c r="K1170" s="389"/>
      <c r="L1170" s="963"/>
      <c r="M1170" s="963"/>
      <c r="N1170" s="964">
        <v>0</v>
      </c>
      <c r="O1170" s="874"/>
      <c r="P1170" s="960"/>
      <c r="Q1170" s="822"/>
      <c r="R1170" s="961"/>
    </row>
    <row r="1171" spans="1:18" s="444" customFormat="1" ht="36" customHeight="1">
      <c r="A1171" s="672"/>
      <c r="B1171" s="673"/>
      <c r="C1171" s="454"/>
      <c r="D1171" s="442"/>
      <c r="E1171" s="962" t="s">
        <v>441</v>
      </c>
      <c r="F1171" s="703"/>
      <c r="G1171" s="704"/>
      <c r="H1171" s="704"/>
      <c r="I1171" s="704"/>
      <c r="J1171" s="704"/>
      <c r="K1171" s="389"/>
      <c r="L1171" s="963"/>
      <c r="M1171" s="963"/>
      <c r="N1171" s="964">
        <v>0</v>
      </c>
      <c r="O1171" s="874"/>
      <c r="P1171" s="960"/>
      <c r="Q1171" s="822"/>
      <c r="R1171" s="961"/>
    </row>
    <row r="1172" spans="1:18" s="444" customFormat="1" ht="57" customHeight="1">
      <c r="A1172" s="672"/>
      <c r="B1172" s="673"/>
      <c r="C1172" s="454"/>
      <c r="D1172" s="442"/>
      <c r="E1172" s="962" t="s">
        <v>517</v>
      </c>
      <c r="F1172" s="703"/>
      <c r="G1172" s="704"/>
      <c r="H1172" s="704"/>
      <c r="I1172" s="704"/>
      <c r="J1172" s="704"/>
      <c r="K1172" s="389"/>
      <c r="L1172" s="963"/>
      <c r="M1172" s="963"/>
      <c r="N1172" s="964">
        <v>0</v>
      </c>
      <c r="O1172" s="874"/>
      <c r="P1172" s="960"/>
      <c r="Q1172" s="822"/>
      <c r="R1172" s="961"/>
    </row>
    <row r="1173" spans="1:18" s="444" customFormat="1" ht="36" customHeight="1">
      <c r="A1173" s="672"/>
      <c r="B1173" s="673"/>
      <c r="C1173" s="454"/>
      <c r="D1173" s="442"/>
      <c r="E1173" s="962" t="s">
        <v>442</v>
      </c>
      <c r="F1173" s="703"/>
      <c r="G1173" s="704"/>
      <c r="H1173" s="704"/>
      <c r="I1173" s="704"/>
      <c r="J1173" s="704"/>
      <c r="K1173" s="389"/>
      <c r="L1173" s="963"/>
      <c r="M1173" s="963"/>
      <c r="N1173" s="964">
        <v>0</v>
      </c>
      <c r="O1173" s="874"/>
      <c r="P1173" s="960"/>
      <c r="Q1173" s="822"/>
      <c r="R1173" s="961"/>
    </row>
    <row r="1174" spans="1:18" s="444" customFormat="1" ht="36" customHeight="1">
      <c r="A1174" s="672"/>
      <c r="B1174" s="673"/>
      <c r="C1174" s="454"/>
      <c r="D1174" s="442"/>
      <c r="E1174" s="962" t="s">
        <v>443</v>
      </c>
      <c r="F1174" s="703"/>
      <c r="G1174" s="704"/>
      <c r="H1174" s="704"/>
      <c r="I1174" s="704"/>
      <c r="J1174" s="704"/>
      <c r="K1174" s="389"/>
      <c r="L1174" s="963"/>
      <c r="M1174" s="963"/>
      <c r="N1174" s="964">
        <v>6160.44</v>
      </c>
      <c r="O1174" s="874"/>
      <c r="P1174" s="960"/>
      <c r="Q1174" s="822"/>
      <c r="R1174" s="961"/>
    </row>
    <row r="1175" spans="1:18" s="444" customFormat="1" ht="36" customHeight="1">
      <c r="A1175" s="672"/>
      <c r="B1175" s="673"/>
      <c r="C1175" s="454"/>
      <c r="D1175" s="442"/>
      <c r="E1175" s="962" t="s">
        <v>482</v>
      </c>
      <c r="F1175" s="703"/>
      <c r="G1175" s="704"/>
      <c r="H1175" s="704"/>
      <c r="I1175" s="704"/>
      <c r="J1175" s="704"/>
      <c r="K1175" s="389"/>
      <c r="L1175" s="963"/>
      <c r="M1175" s="963"/>
      <c r="N1175" s="964">
        <v>0</v>
      </c>
      <c r="O1175" s="874"/>
      <c r="P1175" s="960"/>
      <c r="Q1175" s="822"/>
      <c r="R1175" s="961"/>
    </row>
    <row r="1176" spans="1:18" s="444" customFormat="1" ht="36" customHeight="1">
      <c r="A1176" s="672"/>
      <c r="B1176" s="673"/>
      <c r="C1176" s="454"/>
      <c r="D1176" s="442"/>
      <c r="E1176" s="962" t="s">
        <v>485</v>
      </c>
      <c r="F1176" s="703"/>
      <c r="G1176" s="704"/>
      <c r="H1176" s="704"/>
      <c r="I1176" s="704"/>
      <c r="J1176" s="704"/>
      <c r="K1176" s="389"/>
      <c r="L1176" s="963"/>
      <c r="M1176" s="963"/>
      <c r="N1176" s="964">
        <v>0</v>
      </c>
      <c r="O1176" s="874"/>
      <c r="P1176" s="960"/>
      <c r="Q1176" s="822"/>
      <c r="R1176" s="961"/>
    </row>
    <row r="1177" spans="1:18" s="444" customFormat="1" ht="36" customHeight="1">
      <c r="A1177" s="672"/>
      <c r="B1177" s="673"/>
      <c r="C1177" s="454"/>
      <c r="D1177" s="442"/>
      <c r="E1177" s="962" t="s">
        <v>445</v>
      </c>
      <c r="F1177" s="703"/>
      <c r="G1177" s="704"/>
      <c r="H1177" s="704"/>
      <c r="I1177" s="704"/>
      <c r="J1177" s="704"/>
      <c r="K1177" s="389"/>
      <c r="L1177" s="963"/>
      <c r="M1177" s="963"/>
      <c r="N1177" s="964">
        <v>8020.06</v>
      </c>
      <c r="O1177" s="874"/>
      <c r="P1177" s="960"/>
      <c r="Q1177" s="822"/>
      <c r="R1177" s="961"/>
    </row>
    <row r="1178" spans="1:18" s="444" customFormat="1" ht="57" customHeight="1">
      <c r="A1178" s="672"/>
      <c r="B1178" s="673"/>
      <c r="C1178" s="965"/>
      <c r="D1178" s="442"/>
      <c r="E1178" s="950" t="s">
        <v>446</v>
      </c>
      <c r="F1178" s="955">
        <v>117300</v>
      </c>
      <c r="G1178" s="955">
        <v>111778</v>
      </c>
      <c r="H1178" s="955">
        <v>74715.13</v>
      </c>
      <c r="I1178" s="704"/>
      <c r="J1178" s="704"/>
      <c r="K1178" s="532"/>
      <c r="L1178" s="955">
        <v>5979</v>
      </c>
      <c r="M1178" s="955">
        <v>6057</v>
      </c>
      <c r="N1178" s="956">
        <f>SUM(N1179:N1199)</f>
        <v>4543</v>
      </c>
      <c r="O1178" s="932">
        <f>N1178/M1178</f>
        <v>0.75004127455836223</v>
      </c>
      <c r="P1178" s="960" t="s">
        <v>286</v>
      </c>
      <c r="Q1178" s="822"/>
      <c r="R1178" s="961"/>
    </row>
    <row r="1179" spans="1:18" s="444" customFormat="1" ht="60" customHeight="1">
      <c r="A1179" s="672"/>
      <c r="B1179" s="673"/>
      <c r="C1179" s="965"/>
      <c r="D1179" s="442"/>
      <c r="E1179" s="966" t="s">
        <v>447</v>
      </c>
      <c r="F1179" s="967"/>
      <c r="G1179" s="967"/>
      <c r="H1179" s="967">
        <v>0</v>
      </c>
      <c r="I1179" s="704"/>
      <c r="J1179" s="704"/>
      <c r="K1179" s="532"/>
      <c r="L1179" s="967"/>
      <c r="M1179" s="967"/>
      <c r="N1179" s="968">
        <v>0</v>
      </c>
      <c r="O1179" s="874"/>
      <c r="P1179" s="960"/>
      <c r="Q1179" s="822"/>
      <c r="R1179" s="961"/>
    </row>
    <row r="1180" spans="1:18" s="444" customFormat="1" ht="36" customHeight="1">
      <c r="A1180" s="672"/>
      <c r="B1180" s="673"/>
      <c r="C1180" s="965"/>
      <c r="D1180" s="442"/>
      <c r="E1180" s="966" t="s">
        <v>448</v>
      </c>
      <c r="F1180" s="967"/>
      <c r="G1180" s="967"/>
      <c r="H1180" s="967">
        <v>0</v>
      </c>
      <c r="I1180" s="704"/>
      <c r="J1180" s="704"/>
      <c r="K1180" s="532"/>
      <c r="L1180" s="967"/>
      <c r="M1180" s="967"/>
      <c r="N1180" s="968">
        <v>0</v>
      </c>
      <c r="O1180" s="874"/>
      <c r="P1180" s="960"/>
      <c r="Q1180" s="822"/>
      <c r="R1180" s="961"/>
    </row>
    <row r="1181" spans="1:18" s="444" customFormat="1" ht="36" customHeight="1">
      <c r="A1181" s="672"/>
      <c r="B1181" s="673"/>
      <c r="C1181" s="965"/>
      <c r="D1181" s="442"/>
      <c r="E1181" s="966" t="s">
        <v>449</v>
      </c>
      <c r="F1181" s="967"/>
      <c r="G1181" s="967"/>
      <c r="H1181" s="967">
        <v>0</v>
      </c>
      <c r="I1181" s="704"/>
      <c r="J1181" s="704"/>
      <c r="K1181" s="532"/>
      <c r="L1181" s="967"/>
      <c r="M1181" s="967"/>
      <c r="N1181" s="968">
        <v>0</v>
      </c>
      <c r="O1181" s="874"/>
      <c r="P1181" s="960"/>
      <c r="Q1181" s="822"/>
      <c r="R1181" s="961"/>
    </row>
    <row r="1182" spans="1:18" s="444" customFormat="1" ht="36" customHeight="1">
      <c r="A1182" s="672"/>
      <c r="B1182" s="673"/>
      <c r="C1182" s="965"/>
      <c r="D1182" s="442"/>
      <c r="E1182" s="966" t="s">
        <v>450</v>
      </c>
      <c r="F1182" s="967"/>
      <c r="G1182" s="967"/>
      <c r="H1182" s="967">
        <v>0</v>
      </c>
      <c r="I1182" s="704"/>
      <c r="J1182" s="704"/>
      <c r="K1182" s="532"/>
      <c r="L1182" s="967"/>
      <c r="M1182" s="967"/>
      <c r="N1182" s="968">
        <v>0</v>
      </c>
      <c r="O1182" s="874"/>
      <c r="P1182" s="960"/>
      <c r="Q1182" s="822"/>
      <c r="R1182" s="961"/>
    </row>
    <row r="1183" spans="1:18" s="444" customFormat="1" ht="36" customHeight="1">
      <c r="A1183" s="672"/>
      <c r="B1183" s="673"/>
      <c r="C1183" s="965"/>
      <c r="D1183" s="442"/>
      <c r="E1183" s="966" t="s">
        <v>451</v>
      </c>
      <c r="F1183" s="967"/>
      <c r="G1183" s="967"/>
      <c r="H1183" s="967">
        <v>0</v>
      </c>
      <c r="I1183" s="704"/>
      <c r="J1183" s="704"/>
      <c r="K1183" s="532"/>
      <c r="L1183" s="967"/>
      <c r="M1183" s="967"/>
      <c r="N1183" s="968">
        <v>0</v>
      </c>
      <c r="O1183" s="874"/>
      <c r="P1183" s="960"/>
      <c r="Q1183" s="822"/>
      <c r="R1183" s="961"/>
    </row>
    <row r="1184" spans="1:18" s="444" customFormat="1" ht="38.25" customHeight="1">
      <c r="A1184" s="672"/>
      <c r="B1184" s="673"/>
      <c r="C1184" s="965"/>
      <c r="D1184" s="442"/>
      <c r="E1184" s="969" t="s">
        <v>518</v>
      </c>
      <c r="F1184" s="967"/>
      <c r="G1184" s="967"/>
      <c r="H1184" s="967">
        <v>4300</v>
      </c>
      <c r="I1184" s="704"/>
      <c r="J1184" s="704"/>
      <c r="K1184" s="532"/>
      <c r="L1184" s="967"/>
      <c r="M1184" s="967"/>
      <c r="N1184" s="968">
        <v>0</v>
      </c>
      <c r="O1184" s="874"/>
      <c r="P1184" s="960"/>
      <c r="Q1184" s="822"/>
      <c r="R1184" s="961"/>
    </row>
    <row r="1185" spans="1:18" s="444" customFormat="1" ht="84" customHeight="1">
      <c r="A1185" s="672"/>
      <c r="B1185" s="673"/>
      <c r="C1185" s="965"/>
      <c r="D1185" s="442"/>
      <c r="E1185" s="966" t="s">
        <v>453</v>
      </c>
      <c r="F1185" s="967"/>
      <c r="G1185" s="967"/>
      <c r="H1185" s="967">
        <v>0</v>
      </c>
      <c r="I1185" s="704"/>
      <c r="J1185" s="704"/>
      <c r="K1185" s="532"/>
      <c r="L1185" s="967"/>
      <c r="M1185" s="967"/>
      <c r="N1185" s="968">
        <v>0</v>
      </c>
      <c r="O1185" s="874"/>
      <c r="P1185" s="960"/>
      <c r="Q1185" s="822"/>
      <c r="R1185" s="961"/>
    </row>
    <row r="1186" spans="1:18" s="444" customFormat="1" ht="61.5" customHeight="1">
      <c r="A1186" s="672"/>
      <c r="B1186" s="673"/>
      <c r="C1186" s="965"/>
      <c r="D1186" s="442"/>
      <c r="E1186" s="966" t="s">
        <v>454</v>
      </c>
      <c r="F1186" s="967"/>
      <c r="G1186" s="967"/>
      <c r="H1186" s="967">
        <v>0</v>
      </c>
      <c r="I1186" s="704"/>
      <c r="J1186" s="704"/>
      <c r="K1186" s="532"/>
      <c r="L1186" s="967"/>
      <c r="M1186" s="967"/>
      <c r="N1186" s="968">
        <v>0</v>
      </c>
      <c r="O1186" s="874"/>
      <c r="P1186" s="960"/>
      <c r="Q1186" s="822"/>
      <c r="R1186" s="961"/>
    </row>
    <row r="1187" spans="1:18" s="444" customFormat="1" ht="36" customHeight="1">
      <c r="A1187" s="672"/>
      <c r="B1187" s="673"/>
      <c r="C1187" s="965"/>
      <c r="D1187" s="442"/>
      <c r="E1187" s="966" t="s">
        <v>455</v>
      </c>
      <c r="F1187" s="967"/>
      <c r="G1187" s="967"/>
      <c r="H1187" s="967">
        <v>0</v>
      </c>
      <c r="I1187" s="704"/>
      <c r="J1187" s="704"/>
      <c r="K1187" s="532"/>
      <c r="L1187" s="967"/>
      <c r="M1187" s="967"/>
      <c r="N1187" s="968">
        <v>0</v>
      </c>
      <c r="O1187" s="874"/>
      <c r="P1187" s="960"/>
      <c r="Q1187" s="822"/>
      <c r="R1187" s="961"/>
    </row>
    <row r="1188" spans="1:18" s="444" customFormat="1" ht="54.75" customHeight="1">
      <c r="A1188" s="672"/>
      <c r="B1188" s="673"/>
      <c r="C1188" s="965"/>
      <c r="D1188" s="442"/>
      <c r="E1188" s="966" t="s">
        <v>456</v>
      </c>
      <c r="F1188" s="967"/>
      <c r="G1188" s="967"/>
      <c r="H1188" s="967">
        <v>0</v>
      </c>
      <c r="I1188" s="704"/>
      <c r="J1188" s="704"/>
      <c r="K1188" s="532"/>
      <c r="L1188" s="967"/>
      <c r="M1188" s="967"/>
      <c r="N1188" s="968">
        <v>0</v>
      </c>
      <c r="O1188" s="874"/>
      <c r="P1188" s="960"/>
      <c r="Q1188" s="822"/>
      <c r="R1188" s="961"/>
    </row>
    <row r="1189" spans="1:18" s="444" customFormat="1" ht="41.4" customHeight="1">
      <c r="A1189" s="672"/>
      <c r="B1189" s="673"/>
      <c r="C1189" s="965"/>
      <c r="D1189" s="442"/>
      <c r="E1189" s="966" t="s">
        <v>457</v>
      </c>
      <c r="F1189" s="967"/>
      <c r="G1189" s="967"/>
      <c r="H1189" s="967">
        <v>0</v>
      </c>
      <c r="I1189" s="704"/>
      <c r="J1189" s="704"/>
      <c r="K1189" s="532"/>
      <c r="L1189" s="967"/>
      <c r="M1189" s="967"/>
      <c r="N1189" s="968">
        <v>0</v>
      </c>
      <c r="O1189" s="874"/>
      <c r="P1189" s="960"/>
      <c r="Q1189" s="822"/>
      <c r="R1189" s="961"/>
    </row>
    <row r="1190" spans="1:18" s="444" customFormat="1" ht="54.75" customHeight="1">
      <c r="A1190" s="672"/>
      <c r="B1190" s="673"/>
      <c r="C1190" s="965"/>
      <c r="D1190" s="442"/>
      <c r="E1190" s="966" t="s">
        <v>458</v>
      </c>
      <c r="F1190" s="967"/>
      <c r="G1190" s="967"/>
      <c r="H1190" s="967">
        <v>0</v>
      </c>
      <c r="I1190" s="704"/>
      <c r="J1190" s="704"/>
      <c r="K1190" s="532"/>
      <c r="L1190" s="967"/>
      <c r="M1190" s="967"/>
      <c r="N1190" s="968">
        <v>0</v>
      </c>
      <c r="O1190" s="874"/>
      <c r="P1190" s="960"/>
      <c r="Q1190" s="822"/>
      <c r="R1190" s="961"/>
    </row>
    <row r="1191" spans="1:18" s="444" customFormat="1" ht="36" customHeight="1">
      <c r="A1191" s="672"/>
      <c r="B1191" s="673"/>
      <c r="C1191" s="965"/>
      <c r="D1191" s="442"/>
      <c r="E1191" s="966" t="s">
        <v>459</v>
      </c>
      <c r="F1191" s="970"/>
      <c r="G1191" s="970"/>
      <c r="H1191" s="967">
        <v>32231.32</v>
      </c>
      <c r="I1191" s="704"/>
      <c r="J1191" s="704"/>
      <c r="K1191" s="532"/>
      <c r="L1191" s="970"/>
      <c r="M1191" s="970"/>
      <c r="N1191" s="968">
        <v>0</v>
      </c>
      <c r="O1191" s="874"/>
      <c r="P1191" s="960"/>
      <c r="Q1191" s="822"/>
      <c r="R1191" s="961"/>
    </row>
    <row r="1192" spans="1:18" s="444" customFormat="1" ht="36" customHeight="1">
      <c r="A1192" s="672"/>
      <c r="B1192" s="673"/>
      <c r="C1192" s="965"/>
      <c r="D1192" s="442"/>
      <c r="E1192" s="966" t="s">
        <v>460</v>
      </c>
      <c r="F1192" s="970"/>
      <c r="G1192" s="970"/>
      <c r="H1192" s="967">
        <v>0</v>
      </c>
      <c r="I1192" s="704"/>
      <c r="J1192" s="704"/>
      <c r="K1192" s="532"/>
      <c r="L1192" s="970"/>
      <c r="M1192" s="970"/>
      <c r="N1192" s="968">
        <v>0</v>
      </c>
      <c r="O1192" s="874"/>
      <c r="P1192" s="960"/>
      <c r="Q1192" s="822"/>
      <c r="R1192" s="961"/>
    </row>
    <row r="1193" spans="1:18" s="444" customFormat="1" ht="36" customHeight="1">
      <c r="A1193" s="672"/>
      <c r="B1193" s="673"/>
      <c r="C1193" s="965"/>
      <c r="D1193" s="442"/>
      <c r="E1193" s="966" t="s">
        <v>461</v>
      </c>
      <c r="F1193" s="970"/>
      <c r="G1193" s="970"/>
      <c r="H1193" s="967">
        <v>692</v>
      </c>
      <c r="I1193" s="704"/>
      <c r="J1193" s="704"/>
      <c r="K1193" s="532"/>
      <c r="L1193" s="970"/>
      <c r="M1193" s="970"/>
      <c r="N1193" s="968">
        <v>0</v>
      </c>
      <c r="O1193" s="874"/>
      <c r="P1193" s="960"/>
      <c r="Q1193" s="822"/>
      <c r="R1193" s="961"/>
    </row>
    <row r="1194" spans="1:18" s="444" customFormat="1" ht="36" customHeight="1">
      <c r="A1194" s="672"/>
      <c r="B1194" s="673"/>
      <c r="C1194" s="965"/>
      <c r="D1194" s="442"/>
      <c r="E1194" s="966" t="s">
        <v>462</v>
      </c>
      <c r="F1194" s="970"/>
      <c r="G1194" s="970"/>
      <c r="H1194" s="967">
        <v>35817</v>
      </c>
      <c r="I1194" s="704"/>
      <c r="J1194" s="704"/>
      <c r="K1194" s="532"/>
      <c r="L1194" s="970"/>
      <c r="M1194" s="970"/>
      <c r="N1194" s="968">
        <v>4543</v>
      </c>
      <c r="O1194" s="874"/>
      <c r="P1194" s="960"/>
      <c r="Q1194" s="822"/>
      <c r="R1194" s="961"/>
    </row>
    <row r="1195" spans="1:18" s="444" customFormat="1" ht="36" customHeight="1">
      <c r="A1195" s="672"/>
      <c r="B1195" s="673"/>
      <c r="C1195" s="965"/>
      <c r="D1195" s="442"/>
      <c r="E1195" s="966" t="s">
        <v>463</v>
      </c>
      <c r="F1195" s="970"/>
      <c r="G1195" s="970"/>
      <c r="H1195" s="967">
        <v>0</v>
      </c>
      <c r="I1195" s="704"/>
      <c r="J1195" s="704"/>
      <c r="K1195" s="532"/>
      <c r="L1195" s="970"/>
      <c r="M1195" s="970"/>
      <c r="N1195" s="968">
        <v>0</v>
      </c>
      <c r="O1195" s="874"/>
      <c r="P1195" s="960"/>
      <c r="Q1195" s="822"/>
      <c r="R1195" s="961"/>
    </row>
    <row r="1196" spans="1:18" s="444" customFormat="1" ht="57.75" customHeight="1">
      <c r="A1196" s="672"/>
      <c r="B1196" s="673"/>
      <c r="C1196" s="965"/>
      <c r="D1196" s="442"/>
      <c r="E1196" s="966" t="s">
        <v>464</v>
      </c>
      <c r="F1196" s="970"/>
      <c r="G1196" s="970"/>
      <c r="H1196" s="967">
        <v>0</v>
      </c>
      <c r="I1196" s="704"/>
      <c r="J1196" s="704"/>
      <c r="K1196" s="532"/>
      <c r="L1196" s="970"/>
      <c r="M1196" s="970"/>
      <c r="N1196" s="968">
        <v>0</v>
      </c>
      <c r="O1196" s="874"/>
      <c r="P1196" s="960"/>
      <c r="Q1196" s="822"/>
      <c r="R1196" s="961"/>
    </row>
    <row r="1197" spans="1:18" s="444" customFormat="1" ht="36" customHeight="1">
      <c r="A1197" s="672"/>
      <c r="B1197" s="673"/>
      <c r="C1197" s="965"/>
      <c r="D1197" s="442"/>
      <c r="E1197" s="966" t="s">
        <v>465</v>
      </c>
      <c r="F1197" s="970"/>
      <c r="G1197" s="970"/>
      <c r="H1197" s="967">
        <v>0</v>
      </c>
      <c r="I1197" s="704"/>
      <c r="J1197" s="704"/>
      <c r="K1197" s="532"/>
      <c r="L1197" s="970"/>
      <c r="M1197" s="970"/>
      <c r="N1197" s="968">
        <v>0</v>
      </c>
      <c r="O1197" s="874"/>
      <c r="P1197" s="960"/>
      <c r="Q1197" s="822"/>
      <c r="R1197" s="961"/>
    </row>
    <row r="1198" spans="1:18" s="444" customFormat="1" ht="36" customHeight="1">
      <c r="A1198" s="672"/>
      <c r="B1198" s="673"/>
      <c r="C1198" s="965"/>
      <c r="D1198" s="442"/>
      <c r="E1198" s="966" t="s">
        <v>466</v>
      </c>
      <c r="F1198" s="970"/>
      <c r="G1198" s="970"/>
      <c r="H1198" s="967">
        <v>0</v>
      </c>
      <c r="I1198" s="704"/>
      <c r="J1198" s="704"/>
      <c r="K1198" s="532"/>
      <c r="L1198" s="970"/>
      <c r="M1198" s="970"/>
      <c r="N1198" s="968">
        <v>0</v>
      </c>
      <c r="O1198" s="874"/>
      <c r="P1198" s="960"/>
      <c r="Q1198" s="822"/>
      <c r="R1198" s="961"/>
    </row>
    <row r="1199" spans="1:18" s="444" customFormat="1" ht="36" customHeight="1">
      <c r="A1199" s="672"/>
      <c r="B1199" s="673"/>
      <c r="C1199" s="965"/>
      <c r="D1199" s="442"/>
      <c r="E1199" s="966" t="s">
        <v>492</v>
      </c>
      <c r="F1199" s="970"/>
      <c r="G1199" s="970"/>
      <c r="H1199" s="967">
        <v>1674.81</v>
      </c>
      <c r="I1199" s="704"/>
      <c r="J1199" s="704"/>
      <c r="K1199" s="532"/>
      <c r="L1199" s="970"/>
      <c r="M1199" s="970"/>
      <c r="N1199" s="968">
        <v>0</v>
      </c>
      <c r="O1199" s="874"/>
      <c r="P1199" s="960"/>
      <c r="Q1199" s="822"/>
      <c r="R1199" s="961"/>
    </row>
    <row r="1200" spans="1:18" s="444" customFormat="1" ht="57" customHeight="1">
      <c r="A1200" s="672"/>
      <c r="B1200" s="673"/>
      <c r="C1200" s="965"/>
      <c r="D1200" s="442"/>
      <c r="E1200" s="950" t="s">
        <v>467</v>
      </c>
      <c r="F1200" s="955">
        <v>117300</v>
      </c>
      <c r="G1200" s="955">
        <v>111778</v>
      </c>
      <c r="H1200" s="955">
        <v>74715.13</v>
      </c>
      <c r="I1200" s="704"/>
      <c r="J1200" s="704"/>
      <c r="K1200" s="532"/>
      <c r="L1200" s="955">
        <v>0</v>
      </c>
      <c r="M1200" s="955">
        <v>0</v>
      </c>
      <c r="N1200" s="955">
        <v>0</v>
      </c>
      <c r="O1200" s="932">
        <v>0</v>
      </c>
      <c r="P1200" s="960" t="s">
        <v>286</v>
      </c>
      <c r="Q1200" s="822"/>
      <c r="R1200" s="961"/>
    </row>
    <row r="1201" spans="1:18" s="438" customFormat="1" ht="42" customHeight="1">
      <c r="A1201" s="558"/>
      <c r="B1201" s="475"/>
      <c r="C1201" s="559" t="s">
        <v>58</v>
      </c>
      <c r="D1201" s="560"/>
      <c r="E1201" s="561" t="s">
        <v>220</v>
      </c>
      <c r="F1201" s="562"/>
      <c r="G1201" s="562"/>
      <c r="H1201" s="562"/>
      <c r="I1201" s="562"/>
      <c r="J1201" s="562"/>
      <c r="K1201" s="564">
        <f>881000+40000</f>
        <v>921000</v>
      </c>
      <c r="L1201" s="563">
        <f t="shared" ref="L1201" si="139">SUM(F1201:K1201)</f>
        <v>921000</v>
      </c>
      <c r="M1201" s="563">
        <v>921000</v>
      </c>
      <c r="N1201" s="563">
        <v>500880.29</v>
      </c>
      <c r="O1201" s="872">
        <f>N1201/M1201</f>
        <v>0.54384396308360472</v>
      </c>
      <c r="P1201" s="761" t="s">
        <v>286</v>
      </c>
    </row>
    <row r="1202" spans="1:18" s="438" customFormat="1" ht="42" customHeight="1">
      <c r="A1202" s="558"/>
      <c r="B1202" s="475"/>
      <c r="C1202" s="559" t="s">
        <v>147</v>
      </c>
      <c r="D1202" s="560"/>
      <c r="E1202" s="561" t="s">
        <v>168</v>
      </c>
      <c r="F1202" s="562"/>
      <c r="G1202" s="562"/>
      <c r="H1202" s="562"/>
      <c r="I1202" s="562"/>
      <c r="J1202" s="562"/>
      <c r="K1202" s="564">
        <f>409000+91000</f>
        <v>500000</v>
      </c>
      <c r="L1202" s="563">
        <f t="shared" ref="L1202:L1203" si="140">SUM(F1202:K1202)</f>
        <v>500000</v>
      </c>
      <c r="M1202" s="563">
        <v>500000</v>
      </c>
      <c r="N1202" s="563">
        <v>467852.09</v>
      </c>
      <c r="O1202" s="872">
        <f t="shared" ref="O1202:O1204" si="141">N1202/M1202</f>
        <v>0.93570418</v>
      </c>
      <c r="P1202" s="761" t="s">
        <v>286</v>
      </c>
    </row>
    <row r="1203" spans="1:18" s="438" customFormat="1" ht="42" customHeight="1">
      <c r="A1203" s="558"/>
      <c r="B1203" s="475"/>
      <c r="C1203" s="559" t="s">
        <v>235</v>
      </c>
      <c r="D1203" s="560"/>
      <c r="E1203" s="561" t="s">
        <v>243</v>
      </c>
      <c r="F1203" s="562"/>
      <c r="G1203" s="562"/>
      <c r="H1203" s="562"/>
      <c r="I1203" s="562"/>
      <c r="J1203" s="562"/>
      <c r="K1203" s="564">
        <f>55000+2000</f>
        <v>57000</v>
      </c>
      <c r="L1203" s="563">
        <f t="shared" si="140"/>
        <v>57000</v>
      </c>
      <c r="M1203" s="563">
        <v>57000</v>
      </c>
      <c r="N1203" s="563">
        <v>38766.65</v>
      </c>
      <c r="O1203" s="872">
        <f t="shared" si="141"/>
        <v>0.6801166666666667</v>
      </c>
      <c r="P1203" s="761" t="s">
        <v>286</v>
      </c>
    </row>
    <row r="1204" spans="1:18" s="438" customFormat="1" ht="65.25" customHeight="1">
      <c r="A1204" s="558"/>
      <c r="B1204" s="475"/>
      <c r="C1204" s="559" t="s">
        <v>238</v>
      </c>
      <c r="D1204" s="560"/>
      <c r="E1204" s="462" t="s">
        <v>143</v>
      </c>
      <c r="F1204" s="562"/>
      <c r="G1204" s="562"/>
      <c r="H1204" s="562"/>
      <c r="I1204" s="562"/>
      <c r="J1204" s="562"/>
      <c r="K1204" s="564">
        <f>20000+6000</f>
        <v>26000</v>
      </c>
      <c r="L1204" s="563">
        <f t="shared" ref="L1204" si="142">SUM(F1204:K1204)</f>
        <v>26000</v>
      </c>
      <c r="M1204" s="563">
        <v>82000</v>
      </c>
      <c r="N1204" s="563">
        <v>42908.52</v>
      </c>
      <c r="O1204" s="872">
        <f t="shared" si="141"/>
        <v>0.52327463414634146</v>
      </c>
      <c r="P1204" s="761" t="s">
        <v>286</v>
      </c>
    </row>
    <row r="1205" spans="1:18" s="275" customFormat="1" ht="99" customHeight="1">
      <c r="A1205" s="433"/>
      <c r="B1205" s="78">
        <v>80150</v>
      </c>
      <c r="C1205" s="77"/>
      <c r="D1205" s="181"/>
      <c r="E1205" s="180" t="s">
        <v>234</v>
      </c>
      <c r="F1205" s="414">
        <f>F1206</f>
        <v>0</v>
      </c>
      <c r="G1205" s="95">
        <f>G1206</f>
        <v>0</v>
      </c>
      <c r="H1205" s="95">
        <f>H1206</f>
        <v>0</v>
      </c>
      <c r="I1205" s="95">
        <f>I1206</f>
        <v>0</v>
      </c>
      <c r="J1205" s="95">
        <f>J1206</f>
        <v>0</v>
      </c>
      <c r="K1205" s="95">
        <f>K1206+K1293</f>
        <v>1269053</v>
      </c>
      <c r="L1205" s="95">
        <f t="shared" ref="L1205:L1206" si="143">SUM(F1205:K1205)</f>
        <v>1269053</v>
      </c>
      <c r="M1205" s="95">
        <f>M1206+M1293</f>
        <v>1237267</v>
      </c>
      <c r="N1205" s="95">
        <f>N1206+N1293</f>
        <v>571823.24</v>
      </c>
      <c r="O1205" s="868">
        <f>N1205/M1205</f>
        <v>0.46216640385624119</v>
      </c>
      <c r="P1205" s="780" t="s">
        <v>286</v>
      </c>
    </row>
    <row r="1206" spans="1:18" s="198" customFormat="1" ht="39.9" customHeight="1">
      <c r="A1206" s="492"/>
      <c r="B1206" s="178"/>
      <c r="C1206" s="195" t="s">
        <v>24</v>
      </c>
      <c r="D1206" s="194"/>
      <c r="E1206" s="193" t="s">
        <v>23</v>
      </c>
      <c r="F1206" s="192"/>
      <c r="G1206" s="192"/>
      <c r="H1206" s="192"/>
      <c r="I1206" s="192"/>
      <c r="J1206" s="192"/>
      <c r="K1206" s="436">
        <f>K1207+K1250</f>
        <v>1162053</v>
      </c>
      <c r="L1206" s="436">
        <f t="shared" si="143"/>
        <v>1162053</v>
      </c>
      <c r="M1206" s="436">
        <f>M1207+M1250</f>
        <v>1130267</v>
      </c>
      <c r="N1206" s="436">
        <f>N1207+N1250</f>
        <v>523529.72</v>
      </c>
      <c r="O1206" s="908">
        <f>N1206/M1206</f>
        <v>0.46319119287743515</v>
      </c>
      <c r="P1206" s="777" t="s">
        <v>286</v>
      </c>
    </row>
    <row r="1207" spans="1:18" s="445" customFormat="1" ht="39.9" customHeight="1">
      <c r="A1207" s="492"/>
      <c r="B1207" s="424"/>
      <c r="C1207" s="399">
        <v>1</v>
      </c>
      <c r="D1207" s="447"/>
      <c r="E1207" s="545" t="s">
        <v>192</v>
      </c>
      <c r="F1207" s="400"/>
      <c r="G1207" s="425"/>
      <c r="H1207" s="425"/>
      <c r="I1207" s="425"/>
      <c r="J1207" s="425"/>
      <c r="K1207" s="425">
        <v>530404</v>
      </c>
      <c r="L1207" s="425">
        <f>L1208+L1227+L1249</f>
        <v>530404</v>
      </c>
      <c r="M1207" s="425">
        <f t="shared" ref="M1207:N1207" si="144">M1208+M1227+M1249</f>
        <v>530404</v>
      </c>
      <c r="N1207" s="425">
        <f t="shared" si="144"/>
        <v>236325.03999999998</v>
      </c>
      <c r="O1207" s="889">
        <f>N1207/M1207</f>
        <v>0.44555667001003008</v>
      </c>
      <c r="P1207" s="781" t="s">
        <v>286</v>
      </c>
    </row>
    <row r="1208" spans="1:18" s="435" customFormat="1" ht="50.25" customHeight="1">
      <c r="A1208" s="705"/>
      <c r="B1208" s="949"/>
      <c r="C1208" s="463"/>
      <c r="D1208" s="448"/>
      <c r="E1208" s="950" t="s">
        <v>435</v>
      </c>
      <c r="F1208" s="951"/>
      <c r="G1208" s="952"/>
      <c r="H1208" s="952"/>
      <c r="I1208" s="952"/>
      <c r="J1208" s="953"/>
      <c r="K1208" s="954"/>
      <c r="L1208" s="955">
        <v>455513</v>
      </c>
      <c r="M1208" s="955">
        <v>463681</v>
      </c>
      <c r="N1208" s="956">
        <f>SUM(N1210:N1226)</f>
        <v>224357.03999999998</v>
      </c>
      <c r="O1208" s="932">
        <f t="shared" ref="O1208" si="145">N1208/M1208</f>
        <v>0.48386075771920778</v>
      </c>
      <c r="P1208" s="957" t="s">
        <v>286</v>
      </c>
      <c r="Q1208" s="823"/>
      <c r="R1208" s="958"/>
    </row>
    <row r="1209" spans="1:18" s="444" customFormat="1" ht="34.5" customHeight="1">
      <c r="A1209" s="672"/>
      <c r="B1209" s="673"/>
      <c r="C1209" s="454"/>
      <c r="D1209" s="442"/>
      <c r="E1209" s="959" t="s">
        <v>16</v>
      </c>
      <c r="F1209" s="703"/>
      <c r="G1209" s="704"/>
      <c r="H1209" s="704"/>
      <c r="I1209" s="704"/>
      <c r="J1209" s="704"/>
      <c r="K1209" s="389"/>
      <c r="L1209" s="666"/>
      <c r="M1209" s="666"/>
      <c r="N1209" s="666"/>
      <c r="O1209" s="874"/>
      <c r="P1209" s="960"/>
      <c r="Q1209" s="822"/>
      <c r="R1209" s="961"/>
    </row>
    <row r="1210" spans="1:18" s="444" customFormat="1" ht="36" customHeight="1">
      <c r="A1210" s="672"/>
      <c r="B1210" s="673"/>
      <c r="C1210" s="454"/>
      <c r="D1210" s="429"/>
      <c r="E1210" s="962" t="s">
        <v>593</v>
      </c>
      <c r="F1210" s="703"/>
      <c r="G1210" s="704"/>
      <c r="H1210" s="704"/>
      <c r="I1210" s="704"/>
      <c r="J1210" s="704"/>
      <c r="K1210" s="389"/>
      <c r="L1210" s="963"/>
      <c r="M1210" s="963"/>
      <c r="N1210" s="964">
        <v>154437.18</v>
      </c>
      <c r="O1210" s="874"/>
      <c r="P1210" s="960"/>
      <c r="Q1210" s="822"/>
      <c r="R1210" s="961"/>
    </row>
    <row r="1211" spans="1:18" s="444" customFormat="1" ht="57" customHeight="1">
      <c r="A1211" s="672"/>
      <c r="B1211" s="673"/>
      <c r="C1211" s="454"/>
      <c r="D1211" s="442"/>
      <c r="E1211" s="962" t="s">
        <v>469</v>
      </c>
      <c r="F1211" s="703"/>
      <c r="G1211" s="704"/>
      <c r="H1211" s="704"/>
      <c r="I1211" s="704"/>
      <c r="J1211" s="704"/>
      <c r="K1211" s="389"/>
      <c r="L1211" s="963"/>
      <c r="M1211" s="963"/>
      <c r="N1211" s="964">
        <v>0</v>
      </c>
      <c r="O1211" s="874"/>
      <c r="P1211" s="960"/>
      <c r="Q1211" s="822"/>
      <c r="R1211" s="961"/>
    </row>
    <row r="1212" spans="1:18" s="444" customFormat="1" ht="51.75" customHeight="1">
      <c r="A1212" s="672"/>
      <c r="B1212" s="673"/>
      <c r="C1212" s="454"/>
      <c r="D1212" s="442"/>
      <c r="E1212" s="962" t="s">
        <v>594</v>
      </c>
      <c r="F1212" s="703"/>
      <c r="G1212" s="704"/>
      <c r="H1212" s="704"/>
      <c r="I1212" s="704"/>
      <c r="J1212" s="704"/>
      <c r="K1212" s="389"/>
      <c r="L1212" s="963"/>
      <c r="M1212" s="963"/>
      <c r="N1212" s="964">
        <v>19432.009999999998</v>
      </c>
      <c r="O1212" s="874"/>
      <c r="P1212" s="960"/>
      <c r="Q1212" s="822"/>
      <c r="R1212" s="961"/>
    </row>
    <row r="1213" spans="1:18" s="444" customFormat="1" ht="36" customHeight="1">
      <c r="A1213" s="672"/>
      <c r="B1213" s="673"/>
      <c r="C1213" s="454"/>
      <c r="D1213" s="442"/>
      <c r="E1213" s="962" t="s">
        <v>478</v>
      </c>
      <c r="F1213" s="703"/>
      <c r="G1213" s="704"/>
      <c r="H1213" s="704"/>
      <c r="I1213" s="704"/>
      <c r="J1213" s="704"/>
      <c r="K1213" s="389"/>
      <c r="L1213" s="963"/>
      <c r="M1213" s="963"/>
      <c r="N1213" s="964">
        <v>0</v>
      </c>
      <c r="O1213" s="874"/>
      <c r="P1213" s="960"/>
      <c r="Q1213" s="822"/>
      <c r="R1213" s="961"/>
    </row>
    <row r="1214" spans="1:18" s="444" customFormat="1" ht="36" customHeight="1">
      <c r="A1214" s="672"/>
      <c r="B1214" s="673"/>
      <c r="C1214" s="454"/>
      <c r="D1214" s="442"/>
      <c r="E1214" s="962" t="s">
        <v>471</v>
      </c>
      <c r="F1214" s="703"/>
      <c r="G1214" s="704"/>
      <c r="H1214" s="704"/>
      <c r="I1214" s="704"/>
      <c r="J1214" s="704"/>
      <c r="K1214" s="389"/>
      <c r="L1214" s="963"/>
      <c r="M1214" s="963"/>
      <c r="N1214" s="964">
        <v>0</v>
      </c>
      <c r="O1214" s="874"/>
      <c r="P1214" s="960"/>
      <c r="Q1214" s="822"/>
      <c r="R1214" s="961"/>
    </row>
    <row r="1215" spans="1:18" s="444" customFormat="1" ht="36" customHeight="1">
      <c r="A1215" s="672"/>
      <c r="B1215" s="673"/>
      <c r="C1215" s="454"/>
      <c r="D1215" s="442"/>
      <c r="E1215" s="962" t="s">
        <v>437</v>
      </c>
      <c r="F1215" s="703"/>
      <c r="G1215" s="704"/>
      <c r="H1215" s="704"/>
      <c r="I1215" s="704"/>
      <c r="J1215" s="704"/>
      <c r="K1215" s="389"/>
      <c r="L1215" s="963"/>
      <c r="M1215" s="963"/>
      <c r="N1215" s="964">
        <v>0</v>
      </c>
      <c r="O1215" s="874"/>
      <c r="P1215" s="960"/>
      <c r="Q1215" s="822"/>
      <c r="R1215" s="961"/>
    </row>
    <row r="1216" spans="1:18" s="444" customFormat="1" ht="36" customHeight="1">
      <c r="A1216" s="672"/>
      <c r="B1216" s="673"/>
      <c r="C1216" s="454"/>
      <c r="D1216" s="442"/>
      <c r="E1216" s="962" t="s">
        <v>438</v>
      </c>
      <c r="F1216" s="703"/>
      <c r="G1216" s="704"/>
      <c r="H1216" s="704"/>
      <c r="I1216" s="704"/>
      <c r="J1216" s="704"/>
      <c r="K1216" s="389"/>
      <c r="L1216" s="963"/>
      <c r="M1216" s="963"/>
      <c r="N1216" s="964">
        <v>0</v>
      </c>
      <c r="O1216" s="874"/>
      <c r="P1216" s="960"/>
      <c r="Q1216" s="822"/>
      <c r="R1216" s="961"/>
    </row>
    <row r="1217" spans="1:18" s="444" customFormat="1" ht="36" customHeight="1">
      <c r="A1217" s="672"/>
      <c r="B1217" s="673"/>
      <c r="C1217" s="454"/>
      <c r="D1217" s="442"/>
      <c r="E1217" s="962" t="s">
        <v>591</v>
      </c>
      <c r="F1217" s="703"/>
      <c r="G1217" s="704"/>
      <c r="H1217" s="704"/>
      <c r="I1217" s="704"/>
      <c r="J1217" s="704"/>
      <c r="K1217" s="389"/>
      <c r="L1217" s="963"/>
      <c r="M1217" s="963"/>
      <c r="N1217" s="964">
        <v>0</v>
      </c>
      <c r="O1217" s="874"/>
      <c r="P1217" s="960"/>
      <c r="Q1217" s="822"/>
      <c r="R1217" s="961"/>
    </row>
    <row r="1218" spans="1:18" s="444" customFormat="1" ht="36" customHeight="1">
      <c r="A1218" s="672"/>
      <c r="B1218" s="673"/>
      <c r="C1218" s="454"/>
      <c r="D1218" s="442"/>
      <c r="E1218" s="962" t="s">
        <v>439</v>
      </c>
      <c r="F1218" s="703"/>
      <c r="G1218" s="704"/>
      <c r="H1218" s="704"/>
      <c r="I1218" s="704"/>
      <c r="J1218" s="704"/>
      <c r="K1218" s="389"/>
      <c r="L1218" s="963"/>
      <c r="M1218" s="963"/>
      <c r="N1218" s="964">
        <v>0</v>
      </c>
      <c r="O1218" s="874"/>
      <c r="P1218" s="960"/>
      <c r="Q1218" s="822"/>
      <c r="R1218" s="961"/>
    </row>
    <row r="1219" spans="1:18" s="444" customFormat="1" ht="36" customHeight="1">
      <c r="A1219" s="672"/>
      <c r="B1219" s="673"/>
      <c r="C1219" s="454"/>
      <c r="D1219" s="442"/>
      <c r="E1219" s="962" t="s">
        <v>440</v>
      </c>
      <c r="F1219" s="703"/>
      <c r="G1219" s="704"/>
      <c r="H1219" s="704"/>
      <c r="I1219" s="704"/>
      <c r="J1219" s="704"/>
      <c r="K1219" s="389"/>
      <c r="L1219" s="963"/>
      <c r="M1219" s="963"/>
      <c r="N1219" s="964">
        <v>0</v>
      </c>
      <c r="O1219" s="874"/>
      <c r="P1219" s="960"/>
      <c r="Q1219" s="822"/>
      <c r="R1219" s="961"/>
    </row>
    <row r="1220" spans="1:18" s="444" customFormat="1" ht="57" customHeight="1">
      <c r="A1220" s="672"/>
      <c r="B1220" s="673"/>
      <c r="C1220" s="454"/>
      <c r="D1220" s="442"/>
      <c r="E1220" s="962" t="s">
        <v>595</v>
      </c>
      <c r="F1220" s="703"/>
      <c r="G1220" s="704"/>
      <c r="H1220" s="704"/>
      <c r="I1220" s="704"/>
      <c r="J1220" s="704"/>
      <c r="K1220" s="389"/>
      <c r="L1220" s="963"/>
      <c r="M1220" s="963"/>
      <c r="N1220" s="964">
        <v>2953.74</v>
      </c>
      <c r="O1220" s="874"/>
      <c r="P1220" s="960"/>
      <c r="Q1220" s="822"/>
      <c r="R1220" s="961"/>
    </row>
    <row r="1221" spans="1:18" s="444" customFormat="1" ht="43.5" customHeight="1">
      <c r="A1221" s="672"/>
      <c r="B1221" s="673"/>
      <c r="C1221" s="454"/>
      <c r="D1221" s="442"/>
      <c r="E1221" s="962" t="s">
        <v>592</v>
      </c>
      <c r="F1221" s="703"/>
      <c r="G1221" s="704"/>
      <c r="H1221" s="704"/>
      <c r="I1221" s="704"/>
      <c r="J1221" s="704"/>
      <c r="K1221" s="389"/>
      <c r="L1221" s="963"/>
      <c r="M1221" s="963"/>
      <c r="N1221" s="964">
        <v>0</v>
      </c>
      <c r="O1221" s="874"/>
      <c r="P1221" s="960"/>
      <c r="Q1221" s="822"/>
      <c r="R1221" s="961"/>
    </row>
    <row r="1222" spans="1:18" s="444" customFormat="1" ht="36" customHeight="1">
      <c r="A1222" s="672"/>
      <c r="B1222" s="673"/>
      <c r="C1222" s="454"/>
      <c r="D1222" s="442"/>
      <c r="E1222" s="962" t="s">
        <v>442</v>
      </c>
      <c r="F1222" s="703"/>
      <c r="G1222" s="704"/>
      <c r="H1222" s="704"/>
      <c r="I1222" s="704"/>
      <c r="J1222" s="704"/>
      <c r="K1222" s="389"/>
      <c r="L1222" s="963"/>
      <c r="M1222" s="963"/>
      <c r="N1222" s="964">
        <v>0</v>
      </c>
      <c r="O1222" s="874"/>
      <c r="P1222" s="960"/>
      <c r="Q1222" s="822"/>
      <c r="R1222" s="961"/>
    </row>
    <row r="1223" spans="1:18" s="444" customFormat="1" ht="36" customHeight="1">
      <c r="A1223" s="672"/>
      <c r="B1223" s="673"/>
      <c r="C1223" s="454"/>
      <c r="D1223" s="442"/>
      <c r="E1223" s="962" t="s">
        <v>443</v>
      </c>
      <c r="F1223" s="703"/>
      <c r="G1223" s="704"/>
      <c r="H1223" s="704"/>
      <c r="I1223" s="704"/>
      <c r="J1223" s="704"/>
      <c r="K1223" s="389"/>
      <c r="L1223" s="963"/>
      <c r="M1223" s="963"/>
      <c r="N1223" s="964">
        <v>15125.31</v>
      </c>
      <c r="O1223" s="874"/>
      <c r="P1223" s="960"/>
      <c r="Q1223" s="822"/>
      <c r="R1223" s="961"/>
    </row>
    <row r="1224" spans="1:18" s="444" customFormat="1" ht="36" customHeight="1">
      <c r="A1224" s="672"/>
      <c r="B1224" s="673"/>
      <c r="C1224" s="454"/>
      <c r="D1224" s="442"/>
      <c r="E1224" s="962" t="s">
        <v>482</v>
      </c>
      <c r="F1224" s="703"/>
      <c r="G1224" s="704"/>
      <c r="H1224" s="704"/>
      <c r="I1224" s="704"/>
      <c r="J1224" s="704"/>
      <c r="K1224" s="389"/>
      <c r="L1224" s="963"/>
      <c r="M1224" s="963"/>
      <c r="N1224" s="964">
        <v>0</v>
      </c>
      <c r="O1224" s="874"/>
      <c r="P1224" s="960"/>
      <c r="Q1224" s="822"/>
      <c r="R1224" s="961"/>
    </row>
    <row r="1225" spans="1:18" s="444" customFormat="1" ht="36" customHeight="1">
      <c r="A1225" s="672"/>
      <c r="B1225" s="673"/>
      <c r="C1225" s="454"/>
      <c r="D1225" s="442"/>
      <c r="E1225" s="962" t="s">
        <v>485</v>
      </c>
      <c r="F1225" s="703"/>
      <c r="G1225" s="704"/>
      <c r="H1225" s="704"/>
      <c r="I1225" s="704"/>
      <c r="J1225" s="704"/>
      <c r="K1225" s="389"/>
      <c r="L1225" s="963"/>
      <c r="M1225" s="963"/>
      <c r="N1225" s="964">
        <v>0</v>
      </c>
      <c r="O1225" s="874"/>
      <c r="P1225" s="960"/>
      <c r="Q1225" s="822"/>
      <c r="R1225" s="961"/>
    </row>
    <row r="1226" spans="1:18" s="444" customFormat="1" ht="36" customHeight="1">
      <c r="A1226" s="672"/>
      <c r="B1226" s="673"/>
      <c r="C1226" s="454"/>
      <c r="D1226" s="442"/>
      <c r="E1226" s="962" t="s">
        <v>445</v>
      </c>
      <c r="F1226" s="703"/>
      <c r="G1226" s="704"/>
      <c r="H1226" s="704"/>
      <c r="I1226" s="704"/>
      <c r="J1226" s="704"/>
      <c r="K1226" s="389"/>
      <c r="L1226" s="963"/>
      <c r="M1226" s="963"/>
      <c r="N1226" s="964">
        <v>32408.799999999999</v>
      </c>
      <c r="O1226" s="874"/>
      <c r="P1226" s="960"/>
      <c r="Q1226" s="822"/>
      <c r="R1226" s="961"/>
    </row>
    <row r="1227" spans="1:18" s="444" customFormat="1" ht="58.5" customHeight="1">
      <c r="A1227" s="672"/>
      <c r="B1227" s="673"/>
      <c r="C1227" s="965"/>
      <c r="D1227" s="442"/>
      <c r="E1227" s="950" t="s">
        <v>446</v>
      </c>
      <c r="F1227" s="955">
        <v>117300</v>
      </c>
      <c r="G1227" s="955">
        <v>111778</v>
      </c>
      <c r="H1227" s="955">
        <v>74715.13</v>
      </c>
      <c r="I1227" s="704"/>
      <c r="J1227" s="704"/>
      <c r="K1227" s="532"/>
      <c r="L1227" s="955">
        <v>74891</v>
      </c>
      <c r="M1227" s="955">
        <v>66723</v>
      </c>
      <c r="N1227" s="956">
        <f>SUM(N1228:N1248)</f>
        <v>11968</v>
      </c>
      <c r="O1227" s="932">
        <f>N1227/M1227</f>
        <v>0.17936843367354585</v>
      </c>
      <c r="P1227" s="960" t="s">
        <v>286</v>
      </c>
      <c r="Q1227" s="822"/>
      <c r="R1227" s="961"/>
    </row>
    <row r="1228" spans="1:18" s="444" customFormat="1" ht="67.8" customHeight="1">
      <c r="A1228" s="672"/>
      <c r="B1228" s="673"/>
      <c r="C1228" s="965"/>
      <c r="D1228" s="442"/>
      <c r="E1228" s="966" t="s">
        <v>447</v>
      </c>
      <c r="F1228" s="967"/>
      <c r="G1228" s="967"/>
      <c r="H1228" s="967">
        <v>0</v>
      </c>
      <c r="I1228" s="704"/>
      <c r="J1228" s="704"/>
      <c r="K1228" s="532"/>
      <c r="L1228" s="967"/>
      <c r="M1228" s="967"/>
      <c r="N1228" s="968">
        <v>0</v>
      </c>
      <c r="O1228" s="874"/>
      <c r="P1228" s="960"/>
      <c r="Q1228" s="822"/>
      <c r="R1228" s="961"/>
    </row>
    <row r="1229" spans="1:18" s="444" customFormat="1" ht="36" customHeight="1">
      <c r="A1229" s="672"/>
      <c r="B1229" s="673"/>
      <c r="C1229" s="965"/>
      <c r="D1229" s="442"/>
      <c r="E1229" s="966" t="s">
        <v>448</v>
      </c>
      <c r="F1229" s="967"/>
      <c r="G1229" s="967"/>
      <c r="H1229" s="967">
        <v>0</v>
      </c>
      <c r="I1229" s="704"/>
      <c r="J1229" s="704"/>
      <c r="K1229" s="532"/>
      <c r="L1229" s="967"/>
      <c r="M1229" s="967"/>
      <c r="N1229" s="968">
        <v>0</v>
      </c>
      <c r="O1229" s="874"/>
      <c r="P1229" s="960"/>
      <c r="Q1229" s="822"/>
      <c r="R1229" s="961"/>
    </row>
    <row r="1230" spans="1:18" s="444" customFormat="1" ht="36" customHeight="1">
      <c r="A1230" s="672"/>
      <c r="B1230" s="673"/>
      <c r="C1230" s="965"/>
      <c r="D1230" s="442"/>
      <c r="E1230" s="966" t="s">
        <v>449</v>
      </c>
      <c r="F1230" s="967"/>
      <c r="G1230" s="967"/>
      <c r="H1230" s="967">
        <v>0</v>
      </c>
      <c r="I1230" s="704"/>
      <c r="J1230" s="704"/>
      <c r="K1230" s="532"/>
      <c r="L1230" s="967"/>
      <c r="M1230" s="967"/>
      <c r="N1230" s="968">
        <v>0</v>
      </c>
      <c r="O1230" s="874"/>
      <c r="P1230" s="960"/>
      <c r="Q1230" s="822"/>
      <c r="R1230" s="961"/>
    </row>
    <row r="1231" spans="1:18" s="444" customFormat="1" ht="36" customHeight="1">
      <c r="A1231" s="672"/>
      <c r="B1231" s="673"/>
      <c r="C1231" s="965"/>
      <c r="D1231" s="442"/>
      <c r="E1231" s="966" t="s">
        <v>450</v>
      </c>
      <c r="F1231" s="967"/>
      <c r="G1231" s="967"/>
      <c r="H1231" s="967">
        <v>0</v>
      </c>
      <c r="I1231" s="704"/>
      <c r="J1231" s="704"/>
      <c r="K1231" s="532"/>
      <c r="L1231" s="967"/>
      <c r="M1231" s="967"/>
      <c r="N1231" s="968">
        <v>0</v>
      </c>
      <c r="O1231" s="874"/>
      <c r="P1231" s="960"/>
      <c r="Q1231" s="822"/>
      <c r="R1231" s="961"/>
    </row>
    <row r="1232" spans="1:18" s="444" customFormat="1" ht="36" customHeight="1">
      <c r="A1232" s="672"/>
      <c r="B1232" s="673"/>
      <c r="C1232" s="965"/>
      <c r="D1232" s="442"/>
      <c r="E1232" s="966" t="s">
        <v>451</v>
      </c>
      <c r="F1232" s="967"/>
      <c r="G1232" s="967"/>
      <c r="H1232" s="967">
        <v>0</v>
      </c>
      <c r="I1232" s="704"/>
      <c r="J1232" s="704"/>
      <c r="K1232" s="532"/>
      <c r="L1232" s="967"/>
      <c r="M1232" s="967"/>
      <c r="N1232" s="968">
        <v>0</v>
      </c>
      <c r="O1232" s="874"/>
      <c r="P1232" s="960"/>
      <c r="Q1232" s="822"/>
      <c r="R1232" s="961"/>
    </row>
    <row r="1233" spans="1:18" s="444" customFormat="1" ht="47.25" customHeight="1">
      <c r="A1233" s="672"/>
      <c r="B1233" s="673"/>
      <c r="C1233" s="965"/>
      <c r="D1233" s="442"/>
      <c r="E1233" s="969" t="s">
        <v>491</v>
      </c>
      <c r="F1233" s="967"/>
      <c r="G1233" s="967"/>
      <c r="H1233" s="967">
        <v>4300</v>
      </c>
      <c r="I1233" s="704"/>
      <c r="J1233" s="704"/>
      <c r="K1233" s="532"/>
      <c r="L1233" s="967"/>
      <c r="M1233" s="967"/>
      <c r="N1233" s="968">
        <v>0</v>
      </c>
      <c r="O1233" s="874"/>
      <c r="P1233" s="960"/>
      <c r="Q1233" s="822"/>
      <c r="R1233" s="961"/>
    </row>
    <row r="1234" spans="1:18" s="444" customFormat="1" ht="84" customHeight="1">
      <c r="A1234" s="672"/>
      <c r="B1234" s="673"/>
      <c r="C1234" s="965"/>
      <c r="D1234" s="442"/>
      <c r="E1234" s="966" t="s">
        <v>453</v>
      </c>
      <c r="F1234" s="967"/>
      <c r="G1234" s="967"/>
      <c r="H1234" s="967">
        <v>0</v>
      </c>
      <c r="I1234" s="704"/>
      <c r="J1234" s="704"/>
      <c r="K1234" s="532"/>
      <c r="L1234" s="967"/>
      <c r="M1234" s="967"/>
      <c r="N1234" s="968">
        <v>0</v>
      </c>
      <c r="O1234" s="874"/>
      <c r="P1234" s="960"/>
      <c r="Q1234" s="822"/>
      <c r="R1234" s="961"/>
    </row>
    <row r="1235" spans="1:18" s="444" customFormat="1" ht="54.75" customHeight="1">
      <c r="A1235" s="672"/>
      <c r="B1235" s="673"/>
      <c r="C1235" s="965"/>
      <c r="D1235" s="442"/>
      <c r="E1235" s="966" t="s">
        <v>454</v>
      </c>
      <c r="F1235" s="967"/>
      <c r="G1235" s="967"/>
      <c r="H1235" s="967">
        <v>0</v>
      </c>
      <c r="I1235" s="704"/>
      <c r="J1235" s="704"/>
      <c r="K1235" s="532"/>
      <c r="L1235" s="967"/>
      <c r="M1235" s="967"/>
      <c r="N1235" s="968">
        <v>0</v>
      </c>
      <c r="O1235" s="874"/>
      <c r="P1235" s="960"/>
      <c r="Q1235" s="822"/>
      <c r="R1235" s="961"/>
    </row>
    <row r="1236" spans="1:18" s="444" customFormat="1" ht="36" customHeight="1">
      <c r="A1236" s="672"/>
      <c r="B1236" s="673"/>
      <c r="C1236" s="965"/>
      <c r="D1236" s="442"/>
      <c r="E1236" s="966" t="s">
        <v>455</v>
      </c>
      <c r="F1236" s="967"/>
      <c r="G1236" s="967"/>
      <c r="H1236" s="967">
        <v>0</v>
      </c>
      <c r="I1236" s="704"/>
      <c r="J1236" s="704"/>
      <c r="K1236" s="532"/>
      <c r="L1236" s="967"/>
      <c r="M1236" s="967"/>
      <c r="N1236" s="968">
        <v>0</v>
      </c>
      <c r="O1236" s="874"/>
      <c r="P1236" s="960"/>
      <c r="Q1236" s="822"/>
      <c r="R1236" s="961"/>
    </row>
    <row r="1237" spans="1:18" s="444" customFormat="1" ht="54.75" customHeight="1">
      <c r="A1237" s="672"/>
      <c r="B1237" s="673"/>
      <c r="C1237" s="965"/>
      <c r="D1237" s="442"/>
      <c r="E1237" s="966" t="s">
        <v>456</v>
      </c>
      <c r="F1237" s="967"/>
      <c r="G1237" s="967"/>
      <c r="H1237" s="967">
        <v>0</v>
      </c>
      <c r="I1237" s="704"/>
      <c r="J1237" s="704"/>
      <c r="K1237" s="532"/>
      <c r="L1237" s="967"/>
      <c r="M1237" s="967"/>
      <c r="N1237" s="968">
        <v>0</v>
      </c>
      <c r="O1237" s="874"/>
      <c r="P1237" s="960"/>
      <c r="Q1237" s="822"/>
      <c r="R1237" s="961"/>
    </row>
    <row r="1238" spans="1:18" s="444" customFormat="1" ht="36" customHeight="1">
      <c r="A1238" s="672"/>
      <c r="B1238" s="673"/>
      <c r="C1238" s="965"/>
      <c r="D1238" s="442"/>
      <c r="E1238" s="966" t="s">
        <v>457</v>
      </c>
      <c r="F1238" s="967"/>
      <c r="G1238" s="967"/>
      <c r="H1238" s="967">
        <v>0</v>
      </c>
      <c r="I1238" s="704"/>
      <c r="J1238" s="704"/>
      <c r="K1238" s="532"/>
      <c r="L1238" s="967"/>
      <c r="M1238" s="967"/>
      <c r="N1238" s="968">
        <v>0</v>
      </c>
      <c r="O1238" s="874"/>
      <c r="P1238" s="960"/>
      <c r="Q1238" s="822"/>
      <c r="R1238" s="961"/>
    </row>
    <row r="1239" spans="1:18" s="444" customFormat="1" ht="54.75" customHeight="1">
      <c r="A1239" s="672"/>
      <c r="B1239" s="673"/>
      <c r="C1239" s="965"/>
      <c r="D1239" s="442"/>
      <c r="E1239" s="966" t="s">
        <v>458</v>
      </c>
      <c r="F1239" s="967"/>
      <c r="G1239" s="967"/>
      <c r="H1239" s="967">
        <v>0</v>
      </c>
      <c r="I1239" s="704"/>
      <c r="J1239" s="704"/>
      <c r="K1239" s="532"/>
      <c r="L1239" s="967"/>
      <c r="M1239" s="967"/>
      <c r="N1239" s="968">
        <v>0</v>
      </c>
      <c r="O1239" s="874"/>
      <c r="P1239" s="960"/>
      <c r="Q1239" s="822"/>
      <c r="R1239" s="961"/>
    </row>
    <row r="1240" spans="1:18" s="444" customFormat="1" ht="36" customHeight="1">
      <c r="A1240" s="672"/>
      <c r="B1240" s="673"/>
      <c r="C1240" s="965"/>
      <c r="D1240" s="442"/>
      <c r="E1240" s="966" t="s">
        <v>459</v>
      </c>
      <c r="F1240" s="970"/>
      <c r="G1240" s="970"/>
      <c r="H1240" s="967">
        <v>32231.32</v>
      </c>
      <c r="I1240" s="704"/>
      <c r="J1240" s="704"/>
      <c r="K1240" s="532"/>
      <c r="L1240" s="970"/>
      <c r="M1240" s="970"/>
      <c r="N1240" s="968">
        <v>0</v>
      </c>
      <c r="O1240" s="874"/>
      <c r="P1240" s="960"/>
      <c r="Q1240" s="822"/>
      <c r="R1240" s="961"/>
    </row>
    <row r="1241" spans="1:18" s="444" customFormat="1" ht="36" customHeight="1">
      <c r="A1241" s="672"/>
      <c r="B1241" s="673"/>
      <c r="C1241" s="965"/>
      <c r="D1241" s="442"/>
      <c r="E1241" s="966" t="s">
        <v>460</v>
      </c>
      <c r="F1241" s="970"/>
      <c r="G1241" s="970"/>
      <c r="H1241" s="967">
        <v>0</v>
      </c>
      <c r="I1241" s="704"/>
      <c r="J1241" s="704"/>
      <c r="K1241" s="532"/>
      <c r="L1241" s="970"/>
      <c r="M1241" s="970"/>
      <c r="N1241" s="968">
        <v>0</v>
      </c>
      <c r="O1241" s="874"/>
      <c r="P1241" s="960"/>
      <c r="Q1241" s="822"/>
      <c r="R1241" s="961"/>
    </row>
    <row r="1242" spans="1:18" s="444" customFormat="1" ht="36" customHeight="1">
      <c r="A1242" s="672"/>
      <c r="B1242" s="673"/>
      <c r="C1242" s="965"/>
      <c r="D1242" s="442"/>
      <c r="E1242" s="966" t="s">
        <v>461</v>
      </c>
      <c r="F1242" s="970"/>
      <c r="G1242" s="970"/>
      <c r="H1242" s="967">
        <v>692</v>
      </c>
      <c r="I1242" s="704"/>
      <c r="J1242" s="704"/>
      <c r="K1242" s="532"/>
      <c r="L1242" s="970"/>
      <c r="M1242" s="970"/>
      <c r="N1242" s="968">
        <v>0</v>
      </c>
      <c r="O1242" s="874"/>
      <c r="P1242" s="960"/>
      <c r="Q1242" s="822"/>
      <c r="R1242" s="961"/>
    </row>
    <row r="1243" spans="1:18" s="444" customFormat="1" ht="36" customHeight="1">
      <c r="A1243" s="672"/>
      <c r="B1243" s="673"/>
      <c r="C1243" s="965"/>
      <c r="D1243" s="442"/>
      <c r="E1243" s="966" t="s">
        <v>462</v>
      </c>
      <c r="F1243" s="970"/>
      <c r="G1243" s="970"/>
      <c r="H1243" s="967">
        <v>35817</v>
      </c>
      <c r="I1243" s="704"/>
      <c r="J1243" s="704"/>
      <c r="K1243" s="532"/>
      <c r="L1243" s="970"/>
      <c r="M1243" s="970"/>
      <c r="N1243" s="968">
        <v>11968</v>
      </c>
      <c r="O1243" s="874"/>
      <c r="P1243" s="960"/>
      <c r="Q1243" s="822"/>
      <c r="R1243" s="961"/>
    </row>
    <row r="1244" spans="1:18" s="444" customFormat="1" ht="36" customHeight="1">
      <c r="A1244" s="672"/>
      <c r="B1244" s="673"/>
      <c r="C1244" s="965"/>
      <c r="D1244" s="442"/>
      <c r="E1244" s="966" t="s">
        <v>463</v>
      </c>
      <c r="F1244" s="970"/>
      <c r="G1244" s="970"/>
      <c r="H1244" s="967">
        <v>0</v>
      </c>
      <c r="I1244" s="704"/>
      <c r="J1244" s="704"/>
      <c r="K1244" s="532"/>
      <c r="L1244" s="970"/>
      <c r="M1244" s="970"/>
      <c r="N1244" s="968">
        <v>0</v>
      </c>
      <c r="O1244" s="874"/>
      <c r="P1244" s="960"/>
      <c r="Q1244" s="822"/>
      <c r="R1244" s="961"/>
    </row>
    <row r="1245" spans="1:18" s="444" customFormat="1" ht="61.5" customHeight="1">
      <c r="A1245" s="672"/>
      <c r="B1245" s="673"/>
      <c r="C1245" s="965"/>
      <c r="D1245" s="442"/>
      <c r="E1245" s="966" t="s">
        <v>464</v>
      </c>
      <c r="F1245" s="970"/>
      <c r="G1245" s="970"/>
      <c r="H1245" s="967">
        <v>0</v>
      </c>
      <c r="I1245" s="704"/>
      <c r="J1245" s="704"/>
      <c r="K1245" s="532"/>
      <c r="L1245" s="970"/>
      <c r="M1245" s="970"/>
      <c r="N1245" s="968">
        <v>0</v>
      </c>
      <c r="O1245" s="874"/>
      <c r="P1245" s="960"/>
      <c r="Q1245" s="822"/>
      <c r="R1245" s="961"/>
    </row>
    <row r="1246" spans="1:18" s="444" customFormat="1" ht="36" customHeight="1">
      <c r="A1246" s="672"/>
      <c r="B1246" s="673"/>
      <c r="C1246" s="965"/>
      <c r="D1246" s="442"/>
      <c r="E1246" s="966" t="s">
        <v>465</v>
      </c>
      <c r="F1246" s="970"/>
      <c r="G1246" s="970"/>
      <c r="H1246" s="967">
        <v>0</v>
      </c>
      <c r="I1246" s="704"/>
      <c r="J1246" s="704"/>
      <c r="K1246" s="532"/>
      <c r="L1246" s="970"/>
      <c r="M1246" s="970"/>
      <c r="N1246" s="968">
        <v>0</v>
      </c>
      <c r="O1246" s="874"/>
      <c r="P1246" s="960"/>
      <c r="Q1246" s="822"/>
      <c r="R1246" s="961"/>
    </row>
    <row r="1247" spans="1:18" s="444" customFormat="1" ht="36" customHeight="1">
      <c r="A1247" s="672"/>
      <c r="B1247" s="673"/>
      <c r="C1247" s="965"/>
      <c r="D1247" s="442"/>
      <c r="E1247" s="966" t="s">
        <v>466</v>
      </c>
      <c r="F1247" s="970"/>
      <c r="G1247" s="970"/>
      <c r="H1247" s="967">
        <v>0</v>
      </c>
      <c r="I1247" s="704"/>
      <c r="J1247" s="704"/>
      <c r="K1247" s="532"/>
      <c r="L1247" s="970"/>
      <c r="M1247" s="970"/>
      <c r="N1247" s="968">
        <v>0</v>
      </c>
      <c r="O1247" s="874"/>
      <c r="P1247" s="960"/>
      <c r="Q1247" s="822"/>
      <c r="R1247" s="961"/>
    </row>
    <row r="1248" spans="1:18" s="444" customFormat="1" ht="36" customHeight="1">
      <c r="A1248" s="672"/>
      <c r="B1248" s="673"/>
      <c r="C1248" s="965"/>
      <c r="D1248" s="442"/>
      <c r="E1248" s="966" t="s">
        <v>492</v>
      </c>
      <c r="F1248" s="970"/>
      <c r="G1248" s="970"/>
      <c r="H1248" s="967">
        <v>1674.81</v>
      </c>
      <c r="I1248" s="704"/>
      <c r="J1248" s="704"/>
      <c r="K1248" s="532"/>
      <c r="L1248" s="970"/>
      <c r="M1248" s="970"/>
      <c r="N1248" s="968">
        <v>0</v>
      </c>
      <c r="O1248" s="874"/>
      <c r="P1248" s="960"/>
      <c r="Q1248" s="822"/>
      <c r="R1248" s="961"/>
    </row>
    <row r="1249" spans="1:18" s="444" customFormat="1" ht="57" customHeight="1">
      <c r="A1249" s="672"/>
      <c r="B1249" s="673"/>
      <c r="C1249" s="965"/>
      <c r="D1249" s="442"/>
      <c r="E1249" s="950" t="s">
        <v>467</v>
      </c>
      <c r="F1249" s="955">
        <v>117300</v>
      </c>
      <c r="G1249" s="955">
        <v>111778</v>
      </c>
      <c r="H1249" s="955">
        <v>74715.13</v>
      </c>
      <c r="I1249" s="704"/>
      <c r="J1249" s="704"/>
      <c r="K1249" s="532"/>
      <c r="L1249" s="955">
        <v>0</v>
      </c>
      <c r="M1249" s="955">
        <v>0</v>
      </c>
      <c r="N1249" s="955">
        <v>0</v>
      </c>
      <c r="O1249" s="932">
        <v>0</v>
      </c>
      <c r="P1249" s="960" t="s">
        <v>286</v>
      </c>
      <c r="Q1249" s="822"/>
      <c r="R1249" s="961"/>
    </row>
    <row r="1250" spans="1:18" s="445" customFormat="1" ht="39.9" customHeight="1">
      <c r="A1250" s="492"/>
      <c r="B1250" s="178"/>
      <c r="C1250" s="458">
        <v>2</v>
      </c>
      <c r="D1250" s="184"/>
      <c r="E1250" s="466" t="s">
        <v>233</v>
      </c>
      <c r="F1250" s="255"/>
      <c r="G1250" s="460"/>
      <c r="H1250" s="460"/>
      <c r="I1250" s="460"/>
      <c r="J1250" s="460"/>
      <c r="K1250" s="460">
        <v>631649</v>
      </c>
      <c r="L1250" s="460">
        <f>L1251+L1270+L1292</f>
        <v>631649</v>
      </c>
      <c r="M1250" s="460">
        <f t="shared" ref="M1250:N1250" si="146">M1251+M1270+M1292</f>
        <v>599863</v>
      </c>
      <c r="N1250" s="460">
        <f t="shared" si="146"/>
        <v>287204.68</v>
      </c>
      <c r="O1250" s="917">
        <f>N1250/M1250</f>
        <v>0.47878378896514701</v>
      </c>
      <c r="P1250" s="781" t="s">
        <v>286</v>
      </c>
    </row>
    <row r="1251" spans="1:18" s="435" customFormat="1" ht="39.9" customHeight="1">
      <c r="A1251" s="705"/>
      <c r="B1251" s="949"/>
      <c r="C1251" s="463"/>
      <c r="D1251" s="448"/>
      <c r="E1251" s="1026" t="s">
        <v>435</v>
      </c>
      <c r="F1251" s="951"/>
      <c r="G1251" s="952"/>
      <c r="H1251" s="952"/>
      <c r="I1251" s="952"/>
      <c r="J1251" s="953"/>
      <c r="K1251" s="954"/>
      <c r="L1251" s="955">
        <v>536840</v>
      </c>
      <c r="M1251" s="955">
        <v>536529</v>
      </c>
      <c r="N1251" s="956">
        <f>SUM(N1253:N1269)</f>
        <v>268057.08</v>
      </c>
      <c r="O1251" s="932">
        <f>N1251/M1251</f>
        <v>0.49961340393529524</v>
      </c>
      <c r="P1251" s="957" t="s">
        <v>286</v>
      </c>
      <c r="Q1251" s="823"/>
      <c r="R1251" s="958"/>
    </row>
    <row r="1252" spans="1:18" s="444" customFormat="1" ht="34.5" customHeight="1">
      <c r="A1252" s="672"/>
      <c r="B1252" s="673"/>
      <c r="C1252" s="454"/>
      <c r="D1252" s="442"/>
      <c r="E1252" s="1024" t="s">
        <v>16</v>
      </c>
      <c r="F1252" s="703"/>
      <c r="G1252" s="704"/>
      <c r="H1252" s="704"/>
      <c r="I1252" s="704"/>
      <c r="J1252" s="704"/>
      <c r="K1252" s="389"/>
      <c r="L1252" s="666"/>
      <c r="M1252" s="666"/>
      <c r="N1252" s="666"/>
      <c r="O1252" s="874"/>
      <c r="P1252" s="960"/>
      <c r="Q1252" s="822"/>
      <c r="R1252" s="961"/>
    </row>
    <row r="1253" spans="1:18" s="444" customFormat="1" ht="36" customHeight="1">
      <c r="A1253" s="672"/>
      <c r="B1253" s="673"/>
      <c r="C1253" s="454"/>
      <c r="D1253" s="429"/>
      <c r="E1253" s="1025" t="s">
        <v>627</v>
      </c>
      <c r="F1253" s="703"/>
      <c r="G1253" s="704"/>
      <c r="H1253" s="704"/>
      <c r="I1253" s="704"/>
      <c r="J1253" s="704"/>
      <c r="K1253" s="389"/>
      <c r="L1253" s="963"/>
      <c r="M1253" s="963"/>
      <c r="N1253" s="964">
        <v>185706.88</v>
      </c>
      <c r="O1253" s="874"/>
      <c r="P1253" s="960"/>
      <c r="Q1253" s="822"/>
      <c r="R1253" s="961"/>
    </row>
    <row r="1254" spans="1:18" s="444" customFormat="1" ht="57" customHeight="1">
      <c r="A1254" s="672"/>
      <c r="B1254" s="673"/>
      <c r="C1254" s="454"/>
      <c r="D1254" s="442"/>
      <c r="E1254" s="1025" t="s">
        <v>469</v>
      </c>
      <c r="F1254" s="703"/>
      <c r="G1254" s="704"/>
      <c r="H1254" s="704"/>
      <c r="I1254" s="704"/>
      <c r="J1254" s="704"/>
      <c r="K1254" s="389"/>
      <c r="L1254" s="963"/>
      <c r="M1254" s="963"/>
      <c r="N1254" s="964">
        <v>0</v>
      </c>
      <c r="O1254" s="874"/>
      <c r="P1254" s="960"/>
      <c r="Q1254" s="822"/>
      <c r="R1254" s="961"/>
    </row>
    <row r="1255" spans="1:18" s="444" customFormat="1" ht="42.75" customHeight="1">
      <c r="A1255" s="672"/>
      <c r="B1255" s="673"/>
      <c r="C1255" s="454"/>
      <c r="D1255" s="442"/>
      <c r="E1255" s="1025" t="s">
        <v>477</v>
      </c>
      <c r="F1255" s="703"/>
      <c r="G1255" s="704"/>
      <c r="H1255" s="704"/>
      <c r="I1255" s="704"/>
      <c r="J1255" s="704"/>
      <c r="K1255" s="389"/>
      <c r="L1255" s="963"/>
      <c r="M1255" s="963"/>
      <c r="N1255" s="964">
        <v>0</v>
      </c>
      <c r="O1255" s="874"/>
      <c r="P1255" s="960"/>
      <c r="Q1255" s="822"/>
      <c r="R1255" s="961"/>
    </row>
    <row r="1256" spans="1:18" s="444" customFormat="1" ht="36" customHeight="1">
      <c r="A1256" s="672"/>
      <c r="B1256" s="673"/>
      <c r="C1256" s="454"/>
      <c r="D1256" s="442"/>
      <c r="E1256" s="1025" t="s">
        <v>478</v>
      </c>
      <c r="F1256" s="703"/>
      <c r="G1256" s="704"/>
      <c r="H1256" s="704"/>
      <c r="I1256" s="704"/>
      <c r="J1256" s="704"/>
      <c r="K1256" s="389"/>
      <c r="L1256" s="963"/>
      <c r="M1256" s="963"/>
      <c r="N1256" s="964">
        <v>0</v>
      </c>
      <c r="O1256" s="874"/>
      <c r="P1256" s="960"/>
      <c r="Q1256" s="822"/>
      <c r="R1256" s="961"/>
    </row>
    <row r="1257" spans="1:18" s="444" customFormat="1" ht="36" customHeight="1">
      <c r="A1257" s="672"/>
      <c r="B1257" s="673"/>
      <c r="C1257" s="454"/>
      <c r="D1257" s="442"/>
      <c r="E1257" s="1025" t="s">
        <v>628</v>
      </c>
      <c r="F1257" s="703"/>
      <c r="G1257" s="704"/>
      <c r="H1257" s="704"/>
      <c r="I1257" s="704"/>
      <c r="J1257" s="704"/>
      <c r="K1257" s="389"/>
      <c r="L1257" s="963"/>
      <c r="M1257" s="963"/>
      <c r="N1257" s="964">
        <v>11807.94</v>
      </c>
      <c r="O1257" s="874"/>
      <c r="P1257" s="960"/>
      <c r="Q1257" s="822"/>
      <c r="R1257" s="961"/>
    </row>
    <row r="1258" spans="1:18" s="444" customFormat="1" ht="36" customHeight="1">
      <c r="A1258" s="672"/>
      <c r="B1258" s="673"/>
      <c r="C1258" s="454"/>
      <c r="D1258" s="442"/>
      <c r="E1258" s="1025" t="s">
        <v>437</v>
      </c>
      <c r="F1258" s="703"/>
      <c r="G1258" s="704"/>
      <c r="H1258" s="704"/>
      <c r="I1258" s="704"/>
      <c r="J1258" s="704"/>
      <c r="K1258" s="389"/>
      <c r="L1258" s="963"/>
      <c r="M1258" s="963"/>
      <c r="N1258" s="964">
        <v>0</v>
      </c>
      <c r="O1258" s="874"/>
      <c r="P1258" s="960"/>
      <c r="Q1258" s="822"/>
      <c r="R1258" s="961"/>
    </row>
    <row r="1259" spans="1:18" s="444" customFormat="1" ht="36" customHeight="1">
      <c r="A1259" s="672"/>
      <c r="B1259" s="673"/>
      <c r="C1259" s="454"/>
      <c r="D1259" s="442"/>
      <c r="E1259" s="1025" t="s">
        <v>438</v>
      </c>
      <c r="F1259" s="703"/>
      <c r="G1259" s="704"/>
      <c r="H1259" s="704"/>
      <c r="I1259" s="704"/>
      <c r="J1259" s="704"/>
      <c r="K1259" s="389"/>
      <c r="L1259" s="963"/>
      <c r="M1259" s="963"/>
      <c r="N1259" s="964">
        <v>0</v>
      </c>
      <c r="O1259" s="874"/>
      <c r="P1259" s="960"/>
      <c r="Q1259" s="822"/>
      <c r="R1259" s="961"/>
    </row>
    <row r="1260" spans="1:18" s="444" customFormat="1" ht="36" customHeight="1">
      <c r="A1260" s="672"/>
      <c r="B1260" s="673"/>
      <c r="C1260" s="454"/>
      <c r="D1260" s="442"/>
      <c r="E1260" s="1025" t="s">
        <v>472</v>
      </c>
      <c r="F1260" s="703"/>
      <c r="G1260" s="704"/>
      <c r="H1260" s="704"/>
      <c r="I1260" s="704"/>
      <c r="J1260" s="704"/>
      <c r="K1260" s="389"/>
      <c r="L1260" s="963"/>
      <c r="M1260" s="963"/>
      <c r="N1260" s="964">
        <v>0</v>
      </c>
      <c r="O1260" s="874"/>
      <c r="P1260" s="960"/>
      <c r="Q1260" s="822"/>
      <c r="R1260" s="961"/>
    </row>
    <row r="1261" spans="1:18" s="444" customFormat="1" ht="36" customHeight="1">
      <c r="A1261" s="672"/>
      <c r="B1261" s="673"/>
      <c r="C1261" s="454"/>
      <c r="D1261" s="442"/>
      <c r="E1261" s="1025" t="s">
        <v>439</v>
      </c>
      <c r="F1261" s="703"/>
      <c r="G1261" s="704"/>
      <c r="H1261" s="704"/>
      <c r="I1261" s="704"/>
      <c r="J1261" s="704"/>
      <c r="K1261" s="389"/>
      <c r="L1261" s="963"/>
      <c r="M1261" s="963"/>
      <c r="N1261" s="964">
        <v>0</v>
      </c>
      <c r="O1261" s="874"/>
      <c r="P1261" s="960"/>
      <c r="Q1261" s="822"/>
      <c r="R1261" s="961"/>
    </row>
    <row r="1262" spans="1:18" s="444" customFormat="1" ht="36" customHeight="1">
      <c r="A1262" s="672"/>
      <c r="B1262" s="673"/>
      <c r="C1262" s="454"/>
      <c r="D1262" s="442"/>
      <c r="E1262" s="1025" t="s">
        <v>440</v>
      </c>
      <c r="F1262" s="703"/>
      <c r="G1262" s="704"/>
      <c r="H1262" s="704"/>
      <c r="I1262" s="704"/>
      <c r="J1262" s="704"/>
      <c r="K1262" s="389"/>
      <c r="L1262" s="963"/>
      <c r="M1262" s="963"/>
      <c r="N1262" s="964">
        <v>0</v>
      </c>
      <c r="O1262" s="874"/>
      <c r="P1262" s="960"/>
      <c r="Q1262" s="822"/>
      <c r="R1262" s="961"/>
    </row>
    <row r="1263" spans="1:18" s="444" customFormat="1" ht="36" customHeight="1">
      <c r="A1263" s="672"/>
      <c r="B1263" s="673"/>
      <c r="C1263" s="454"/>
      <c r="D1263" s="442"/>
      <c r="E1263" s="1025" t="s">
        <v>629</v>
      </c>
      <c r="F1263" s="703"/>
      <c r="G1263" s="704"/>
      <c r="H1263" s="704"/>
      <c r="I1263" s="704"/>
      <c r="J1263" s="704"/>
      <c r="K1263" s="389"/>
      <c r="L1263" s="963"/>
      <c r="M1263" s="963"/>
      <c r="N1263" s="964">
        <v>1860.05</v>
      </c>
      <c r="O1263" s="874"/>
      <c r="P1263" s="960"/>
      <c r="Q1263" s="822"/>
      <c r="R1263" s="961"/>
    </row>
    <row r="1264" spans="1:18" s="444" customFormat="1" ht="39" customHeight="1">
      <c r="A1264" s="672"/>
      <c r="B1264" s="673"/>
      <c r="C1264" s="454"/>
      <c r="D1264" s="442"/>
      <c r="E1264" s="1025" t="s">
        <v>489</v>
      </c>
      <c r="F1264" s="703"/>
      <c r="G1264" s="704"/>
      <c r="H1264" s="704"/>
      <c r="I1264" s="704"/>
      <c r="J1264" s="704"/>
      <c r="K1264" s="389"/>
      <c r="L1264" s="963"/>
      <c r="M1264" s="963"/>
      <c r="N1264" s="964">
        <v>0</v>
      </c>
      <c r="O1264" s="874"/>
      <c r="P1264" s="960"/>
      <c r="Q1264" s="822"/>
      <c r="R1264" s="961"/>
    </row>
    <row r="1265" spans="1:18" s="444" customFormat="1" ht="36" customHeight="1">
      <c r="A1265" s="672"/>
      <c r="B1265" s="673"/>
      <c r="C1265" s="454"/>
      <c r="D1265" s="442"/>
      <c r="E1265" s="1025" t="s">
        <v>442</v>
      </c>
      <c r="F1265" s="703"/>
      <c r="G1265" s="704"/>
      <c r="H1265" s="704"/>
      <c r="I1265" s="704"/>
      <c r="J1265" s="704"/>
      <c r="K1265" s="389"/>
      <c r="L1265" s="963"/>
      <c r="M1265" s="963"/>
      <c r="N1265" s="964">
        <v>0</v>
      </c>
      <c r="O1265" s="874"/>
      <c r="P1265" s="960"/>
      <c r="Q1265" s="822"/>
      <c r="R1265" s="961"/>
    </row>
    <row r="1266" spans="1:18" s="444" customFormat="1" ht="36" customHeight="1">
      <c r="A1266" s="672"/>
      <c r="B1266" s="673"/>
      <c r="C1266" s="454"/>
      <c r="D1266" s="442"/>
      <c r="E1266" s="1025" t="s">
        <v>443</v>
      </c>
      <c r="F1266" s="703"/>
      <c r="G1266" s="704"/>
      <c r="H1266" s="704"/>
      <c r="I1266" s="704"/>
      <c r="J1266" s="704"/>
      <c r="K1266" s="389"/>
      <c r="L1266" s="963"/>
      <c r="M1266" s="963"/>
      <c r="N1266" s="964">
        <v>31768.04</v>
      </c>
      <c r="O1266" s="874"/>
      <c r="P1266" s="960"/>
      <c r="Q1266" s="822"/>
      <c r="R1266" s="961"/>
    </row>
    <row r="1267" spans="1:18" s="444" customFormat="1" ht="36" customHeight="1">
      <c r="A1267" s="672"/>
      <c r="B1267" s="673"/>
      <c r="C1267" s="454"/>
      <c r="D1267" s="442"/>
      <c r="E1267" s="1025" t="s">
        <v>490</v>
      </c>
      <c r="F1267" s="703"/>
      <c r="G1267" s="704"/>
      <c r="H1267" s="704"/>
      <c r="I1267" s="704"/>
      <c r="J1267" s="704"/>
      <c r="K1267" s="389"/>
      <c r="L1267" s="963"/>
      <c r="M1267" s="963"/>
      <c r="N1267" s="964">
        <v>0</v>
      </c>
      <c r="O1267" s="874"/>
      <c r="P1267" s="960"/>
      <c r="Q1267" s="822"/>
      <c r="R1267" s="961"/>
    </row>
    <row r="1268" spans="1:18" s="444" customFormat="1" ht="36" customHeight="1">
      <c r="A1268" s="672"/>
      <c r="B1268" s="673"/>
      <c r="C1268" s="454"/>
      <c r="D1268" s="442"/>
      <c r="E1268" s="1025" t="s">
        <v>485</v>
      </c>
      <c r="F1268" s="703"/>
      <c r="G1268" s="704"/>
      <c r="H1268" s="704"/>
      <c r="I1268" s="704"/>
      <c r="J1268" s="704"/>
      <c r="K1268" s="389"/>
      <c r="L1268" s="963"/>
      <c r="M1268" s="963"/>
      <c r="N1268" s="964">
        <v>0</v>
      </c>
      <c r="O1268" s="874"/>
      <c r="P1268" s="960"/>
      <c r="Q1268" s="822"/>
      <c r="R1268" s="961"/>
    </row>
    <row r="1269" spans="1:18" s="444" customFormat="1" ht="36" customHeight="1">
      <c r="A1269" s="672"/>
      <c r="B1269" s="673"/>
      <c r="C1269" s="454"/>
      <c r="D1269" s="442"/>
      <c r="E1269" s="1025" t="s">
        <v>445</v>
      </c>
      <c r="F1269" s="703"/>
      <c r="G1269" s="704"/>
      <c r="H1269" s="704"/>
      <c r="I1269" s="704"/>
      <c r="J1269" s="704"/>
      <c r="K1269" s="389"/>
      <c r="L1269" s="963"/>
      <c r="M1269" s="963"/>
      <c r="N1269" s="964">
        <v>36914.17</v>
      </c>
      <c r="O1269" s="874"/>
      <c r="P1269" s="960"/>
      <c r="Q1269" s="822"/>
      <c r="R1269" s="961"/>
    </row>
    <row r="1270" spans="1:18" s="444" customFormat="1" ht="57" customHeight="1">
      <c r="A1270" s="672"/>
      <c r="B1270" s="673"/>
      <c r="C1270" s="965"/>
      <c r="D1270" s="442"/>
      <c r="E1270" s="1026" t="s">
        <v>446</v>
      </c>
      <c r="F1270" s="955">
        <v>117300</v>
      </c>
      <c r="G1270" s="955">
        <v>111778</v>
      </c>
      <c r="H1270" s="955">
        <v>74715.13</v>
      </c>
      <c r="I1270" s="704"/>
      <c r="J1270" s="704"/>
      <c r="K1270" s="532"/>
      <c r="L1270" s="955">
        <v>94809</v>
      </c>
      <c r="M1270" s="955">
        <v>63334</v>
      </c>
      <c r="N1270" s="956">
        <f>SUM(N1271:N1291)</f>
        <v>19147.599999999999</v>
      </c>
      <c r="O1270" s="932">
        <f>N1270/M1270</f>
        <v>0.3023273439226955</v>
      </c>
      <c r="P1270" s="960" t="s">
        <v>286</v>
      </c>
      <c r="Q1270" s="822"/>
      <c r="R1270" s="961"/>
    </row>
    <row r="1271" spans="1:18" s="444" customFormat="1" ht="75.75" customHeight="1">
      <c r="A1271" s="672"/>
      <c r="B1271" s="673"/>
      <c r="C1271" s="965"/>
      <c r="D1271" s="442"/>
      <c r="E1271" s="1027" t="s">
        <v>447</v>
      </c>
      <c r="F1271" s="967"/>
      <c r="G1271" s="967"/>
      <c r="H1271" s="967">
        <v>0</v>
      </c>
      <c r="I1271" s="704"/>
      <c r="J1271" s="704"/>
      <c r="K1271" s="532"/>
      <c r="L1271" s="967"/>
      <c r="M1271" s="967"/>
      <c r="N1271" s="968">
        <v>0</v>
      </c>
      <c r="O1271" s="874"/>
      <c r="P1271" s="960"/>
      <c r="Q1271" s="822"/>
      <c r="R1271" s="961"/>
    </row>
    <row r="1272" spans="1:18" s="444" customFormat="1" ht="36" customHeight="1">
      <c r="A1272" s="672"/>
      <c r="B1272" s="673"/>
      <c r="C1272" s="454"/>
      <c r="D1272" s="442"/>
      <c r="E1272" s="1027" t="s">
        <v>626</v>
      </c>
      <c r="F1272" s="967"/>
      <c r="G1272" s="967"/>
      <c r="H1272" s="967">
        <v>0</v>
      </c>
      <c r="I1272" s="704"/>
      <c r="J1272" s="704"/>
      <c r="K1272" s="532"/>
      <c r="L1272" s="967"/>
      <c r="M1272" s="967"/>
      <c r="N1272" s="968">
        <v>0</v>
      </c>
      <c r="O1272" s="874"/>
      <c r="P1272" s="960"/>
      <c r="Q1272" s="822"/>
      <c r="R1272" s="961"/>
    </row>
    <row r="1273" spans="1:18" s="444" customFormat="1" ht="36" customHeight="1">
      <c r="A1273" s="672"/>
      <c r="B1273" s="673"/>
      <c r="C1273" s="454"/>
      <c r="D1273" s="442"/>
      <c r="E1273" s="1027" t="s">
        <v>449</v>
      </c>
      <c r="F1273" s="967"/>
      <c r="G1273" s="967"/>
      <c r="H1273" s="967">
        <v>0</v>
      </c>
      <c r="I1273" s="704"/>
      <c r="J1273" s="704"/>
      <c r="K1273" s="532"/>
      <c r="L1273" s="967"/>
      <c r="M1273" s="967"/>
      <c r="N1273" s="968">
        <v>0</v>
      </c>
      <c r="O1273" s="874"/>
      <c r="P1273" s="960"/>
      <c r="Q1273" s="822"/>
      <c r="R1273" s="961"/>
    </row>
    <row r="1274" spans="1:18" s="444" customFormat="1" ht="36" customHeight="1">
      <c r="A1274" s="672"/>
      <c r="B1274" s="673"/>
      <c r="C1274" s="454"/>
      <c r="D1274" s="442"/>
      <c r="E1274" s="1027" t="s">
        <v>450</v>
      </c>
      <c r="F1274" s="967"/>
      <c r="G1274" s="967"/>
      <c r="H1274" s="967">
        <v>0</v>
      </c>
      <c r="I1274" s="704"/>
      <c r="J1274" s="704"/>
      <c r="K1274" s="532"/>
      <c r="L1274" s="967"/>
      <c r="M1274" s="967"/>
      <c r="N1274" s="968">
        <v>0</v>
      </c>
      <c r="O1274" s="874"/>
      <c r="P1274" s="960"/>
      <c r="Q1274" s="822"/>
      <c r="R1274" s="961"/>
    </row>
    <row r="1275" spans="1:18" s="444" customFormat="1" ht="36" customHeight="1">
      <c r="A1275" s="672"/>
      <c r="B1275" s="673"/>
      <c r="C1275" s="454"/>
      <c r="D1275" s="442"/>
      <c r="E1275" s="1027" t="s">
        <v>451</v>
      </c>
      <c r="F1275" s="967"/>
      <c r="G1275" s="967"/>
      <c r="H1275" s="967">
        <v>0</v>
      </c>
      <c r="I1275" s="704"/>
      <c r="J1275" s="704"/>
      <c r="K1275" s="532"/>
      <c r="L1275" s="967"/>
      <c r="M1275" s="967"/>
      <c r="N1275" s="968">
        <v>0</v>
      </c>
      <c r="O1275" s="874"/>
      <c r="P1275" s="960"/>
      <c r="Q1275" s="822"/>
      <c r="R1275" s="961"/>
    </row>
    <row r="1276" spans="1:18" s="444" customFormat="1" ht="36" customHeight="1">
      <c r="A1276" s="672"/>
      <c r="B1276" s="673"/>
      <c r="C1276" s="454"/>
      <c r="D1276" s="442"/>
      <c r="E1276" s="1027" t="s">
        <v>491</v>
      </c>
      <c r="F1276" s="967"/>
      <c r="G1276" s="967"/>
      <c r="H1276" s="967">
        <v>4300</v>
      </c>
      <c r="I1276" s="704"/>
      <c r="J1276" s="704"/>
      <c r="K1276" s="532"/>
      <c r="L1276" s="967"/>
      <c r="M1276" s="967"/>
      <c r="N1276" s="968">
        <v>0</v>
      </c>
      <c r="O1276" s="874"/>
      <c r="P1276" s="960"/>
      <c r="Q1276" s="822"/>
      <c r="R1276" s="961"/>
    </row>
    <row r="1277" spans="1:18" s="444" customFormat="1" ht="84" customHeight="1">
      <c r="A1277" s="672"/>
      <c r="B1277" s="673"/>
      <c r="C1277" s="454"/>
      <c r="D1277" s="442"/>
      <c r="E1277" s="1027" t="s">
        <v>453</v>
      </c>
      <c r="F1277" s="967"/>
      <c r="G1277" s="967"/>
      <c r="H1277" s="967">
        <v>0</v>
      </c>
      <c r="I1277" s="704"/>
      <c r="J1277" s="704"/>
      <c r="K1277" s="532"/>
      <c r="L1277" s="967"/>
      <c r="M1277" s="967"/>
      <c r="N1277" s="968">
        <v>0</v>
      </c>
      <c r="O1277" s="874"/>
      <c r="P1277" s="960"/>
      <c r="Q1277" s="822"/>
      <c r="R1277" s="961"/>
    </row>
    <row r="1278" spans="1:18" s="444" customFormat="1" ht="54.75" customHeight="1">
      <c r="A1278" s="672"/>
      <c r="B1278" s="673"/>
      <c r="C1278" s="454"/>
      <c r="D1278" s="442"/>
      <c r="E1278" s="1027" t="s">
        <v>454</v>
      </c>
      <c r="F1278" s="967"/>
      <c r="G1278" s="967"/>
      <c r="H1278" s="967">
        <v>0</v>
      </c>
      <c r="I1278" s="704"/>
      <c r="J1278" s="704"/>
      <c r="K1278" s="532"/>
      <c r="L1278" s="967"/>
      <c r="M1278" s="967"/>
      <c r="N1278" s="968">
        <v>0</v>
      </c>
      <c r="O1278" s="874"/>
      <c r="P1278" s="960"/>
      <c r="Q1278" s="822"/>
      <c r="R1278" s="961"/>
    </row>
    <row r="1279" spans="1:18" s="444" customFormat="1" ht="36" customHeight="1">
      <c r="A1279" s="672"/>
      <c r="B1279" s="673"/>
      <c r="C1279" s="454"/>
      <c r="D1279" s="442"/>
      <c r="E1279" s="1027" t="s">
        <v>455</v>
      </c>
      <c r="F1279" s="967"/>
      <c r="G1279" s="967"/>
      <c r="H1279" s="967">
        <v>0</v>
      </c>
      <c r="I1279" s="704"/>
      <c r="J1279" s="704"/>
      <c r="K1279" s="532"/>
      <c r="L1279" s="967"/>
      <c r="M1279" s="967"/>
      <c r="N1279" s="968">
        <v>0</v>
      </c>
      <c r="O1279" s="874"/>
      <c r="P1279" s="960"/>
      <c r="Q1279" s="822"/>
      <c r="R1279" s="961"/>
    </row>
    <row r="1280" spans="1:18" s="444" customFormat="1" ht="54.75" customHeight="1">
      <c r="A1280" s="672"/>
      <c r="B1280" s="673"/>
      <c r="C1280" s="454"/>
      <c r="D1280" s="442"/>
      <c r="E1280" s="1027" t="s">
        <v>456</v>
      </c>
      <c r="F1280" s="967"/>
      <c r="G1280" s="967"/>
      <c r="H1280" s="967">
        <v>0</v>
      </c>
      <c r="I1280" s="704"/>
      <c r="J1280" s="704"/>
      <c r="K1280" s="532"/>
      <c r="L1280" s="967"/>
      <c r="M1280" s="967"/>
      <c r="N1280" s="968">
        <v>0</v>
      </c>
      <c r="O1280" s="874"/>
      <c r="P1280" s="960"/>
      <c r="Q1280" s="822"/>
      <c r="R1280" s="961"/>
    </row>
    <row r="1281" spans="1:22" s="444" customFormat="1" ht="36" customHeight="1">
      <c r="A1281" s="672"/>
      <c r="B1281" s="673"/>
      <c r="C1281" s="454"/>
      <c r="D1281" s="442"/>
      <c r="E1281" s="1027" t="s">
        <v>457</v>
      </c>
      <c r="F1281" s="967"/>
      <c r="G1281" s="967"/>
      <c r="H1281" s="967">
        <v>0</v>
      </c>
      <c r="I1281" s="704"/>
      <c r="J1281" s="704"/>
      <c r="K1281" s="532"/>
      <c r="L1281" s="967"/>
      <c r="M1281" s="967"/>
      <c r="N1281" s="968">
        <v>147.6</v>
      </c>
      <c r="O1281" s="874"/>
      <c r="P1281" s="960"/>
      <c r="Q1281" s="822"/>
      <c r="R1281" s="961"/>
    </row>
    <row r="1282" spans="1:22" s="444" customFormat="1" ht="54.75" customHeight="1">
      <c r="A1282" s="672"/>
      <c r="B1282" s="673"/>
      <c r="C1282" s="454"/>
      <c r="D1282" s="442"/>
      <c r="E1282" s="1027" t="s">
        <v>458</v>
      </c>
      <c r="F1282" s="967"/>
      <c r="G1282" s="967"/>
      <c r="H1282" s="967">
        <v>0</v>
      </c>
      <c r="I1282" s="704"/>
      <c r="J1282" s="704"/>
      <c r="K1282" s="532"/>
      <c r="L1282" s="967"/>
      <c r="M1282" s="967"/>
      <c r="N1282" s="968">
        <v>0</v>
      </c>
      <c r="O1282" s="874"/>
      <c r="P1282" s="960"/>
      <c r="Q1282" s="822"/>
      <c r="R1282" s="961"/>
    </row>
    <row r="1283" spans="1:22" s="444" customFormat="1" ht="36" customHeight="1">
      <c r="A1283" s="672"/>
      <c r="B1283" s="673"/>
      <c r="C1283" s="454"/>
      <c r="D1283" s="442"/>
      <c r="E1283" s="1027" t="s">
        <v>459</v>
      </c>
      <c r="F1283" s="970"/>
      <c r="G1283" s="970"/>
      <c r="H1283" s="967">
        <v>32231.32</v>
      </c>
      <c r="I1283" s="704"/>
      <c r="J1283" s="704"/>
      <c r="K1283" s="532"/>
      <c r="L1283" s="970"/>
      <c r="M1283" s="970"/>
      <c r="N1283" s="968">
        <v>0</v>
      </c>
      <c r="O1283" s="874"/>
      <c r="P1283" s="960"/>
      <c r="Q1283" s="822"/>
      <c r="R1283" s="961"/>
    </row>
    <row r="1284" spans="1:22" s="444" customFormat="1" ht="36" customHeight="1">
      <c r="A1284" s="672"/>
      <c r="B1284" s="673"/>
      <c r="C1284" s="454"/>
      <c r="D1284" s="442"/>
      <c r="E1284" s="1027" t="s">
        <v>460</v>
      </c>
      <c r="F1284" s="970"/>
      <c r="G1284" s="970"/>
      <c r="H1284" s="967">
        <v>0</v>
      </c>
      <c r="I1284" s="704"/>
      <c r="J1284" s="704"/>
      <c r="K1284" s="532"/>
      <c r="L1284" s="970"/>
      <c r="M1284" s="970"/>
      <c r="N1284" s="968">
        <v>0</v>
      </c>
      <c r="O1284" s="874"/>
      <c r="P1284" s="960"/>
      <c r="Q1284" s="822"/>
      <c r="R1284" s="961"/>
    </row>
    <row r="1285" spans="1:22" s="444" customFormat="1" ht="36" customHeight="1">
      <c r="A1285" s="672"/>
      <c r="B1285" s="673"/>
      <c r="C1285" s="454"/>
      <c r="D1285" s="442"/>
      <c r="E1285" s="1027" t="s">
        <v>461</v>
      </c>
      <c r="F1285" s="970"/>
      <c r="G1285" s="970"/>
      <c r="H1285" s="967">
        <v>692</v>
      </c>
      <c r="I1285" s="704"/>
      <c r="J1285" s="704"/>
      <c r="K1285" s="532"/>
      <c r="L1285" s="970"/>
      <c r="M1285" s="970"/>
      <c r="N1285" s="968">
        <v>0</v>
      </c>
      <c r="O1285" s="874"/>
      <c r="P1285" s="960"/>
      <c r="Q1285" s="822"/>
      <c r="R1285" s="961"/>
    </row>
    <row r="1286" spans="1:22" s="444" customFormat="1" ht="36" customHeight="1">
      <c r="A1286" s="672"/>
      <c r="B1286" s="673"/>
      <c r="C1286" s="454"/>
      <c r="D1286" s="442"/>
      <c r="E1286" s="1027" t="s">
        <v>462</v>
      </c>
      <c r="F1286" s="970"/>
      <c r="G1286" s="970"/>
      <c r="H1286" s="967">
        <v>35817</v>
      </c>
      <c r="I1286" s="704"/>
      <c r="J1286" s="704"/>
      <c r="K1286" s="532"/>
      <c r="L1286" s="970"/>
      <c r="M1286" s="970"/>
      <c r="N1286" s="968">
        <v>19000</v>
      </c>
      <c r="O1286" s="874"/>
      <c r="P1286" s="960"/>
      <c r="Q1286" s="822"/>
      <c r="R1286" s="961"/>
    </row>
    <row r="1287" spans="1:22" s="444" customFormat="1" ht="36" customHeight="1">
      <c r="A1287" s="672"/>
      <c r="B1287" s="673"/>
      <c r="C1287" s="454"/>
      <c r="D1287" s="442"/>
      <c r="E1287" s="1027" t="s">
        <v>463</v>
      </c>
      <c r="F1287" s="970"/>
      <c r="G1287" s="970"/>
      <c r="H1287" s="967">
        <v>0</v>
      </c>
      <c r="I1287" s="704"/>
      <c r="J1287" s="704"/>
      <c r="K1287" s="532"/>
      <c r="L1287" s="970"/>
      <c r="M1287" s="970"/>
      <c r="N1287" s="968">
        <v>0</v>
      </c>
      <c r="O1287" s="874"/>
      <c r="P1287" s="960"/>
      <c r="Q1287" s="822"/>
      <c r="R1287" s="961"/>
    </row>
    <row r="1288" spans="1:22" s="444" customFormat="1" ht="54.75" customHeight="1">
      <c r="A1288" s="672"/>
      <c r="B1288" s="673"/>
      <c r="C1288" s="454"/>
      <c r="D1288" s="442"/>
      <c r="E1288" s="1027" t="s">
        <v>464</v>
      </c>
      <c r="F1288" s="970"/>
      <c r="G1288" s="970"/>
      <c r="H1288" s="967">
        <v>0</v>
      </c>
      <c r="I1288" s="704"/>
      <c r="J1288" s="704"/>
      <c r="K1288" s="532"/>
      <c r="L1288" s="970"/>
      <c r="M1288" s="970"/>
      <c r="N1288" s="968">
        <v>0</v>
      </c>
      <c r="O1288" s="874"/>
      <c r="P1288" s="960"/>
      <c r="Q1288" s="822"/>
      <c r="R1288" s="961"/>
    </row>
    <row r="1289" spans="1:22" s="444" customFormat="1" ht="36" customHeight="1">
      <c r="A1289" s="672"/>
      <c r="B1289" s="673"/>
      <c r="C1289" s="454"/>
      <c r="D1289" s="442"/>
      <c r="E1289" s="1027" t="s">
        <v>465</v>
      </c>
      <c r="F1289" s="970"/>
      <c r="G1289" s="970"/>
      <c r="H1289" s="967">
        <v>0</v>
      </c>
      <c r="I1289" s="704"/>
      <c r="J1289" s="704"/>
      <c r="K1289" s="532"/>
      <c r="L1289" s="970"/>
      <c r="M1289" s="970"/>
      <c r="N1289" s="968">
        <v>0</v>
      </c>
      <c r="O1289" s="874"/>
      <c r="P1289" s="960"/>
      <c r="Q1289" s="822"/>
      <c r="R1289" s="961"/>
    </row>
    <row r="1290" spans="1:22" s="444" customFormat="1" ht="36" customHeight="1">
      <c r="A1290" s="672"/>
      <c r="B1290" s="673"/>
      <c r="C1290" s="454"/>
      <c r="D1290" s="442"/>
      <c r="E1290" s="1027" t="s">
        <v>466</v>
      </c>
      <c r="F1290" s="970"/>
      <c r="G1290" s="970"/>
      <c r="H1290" s="967">
        <v>0</v>
      </c>
      <c r="I1290" s="704"/>
      <c r="J1290" s="704"/>
      <c r="K1290" s="532"/>
      <c r="L1290" s="970"/>
      <c r="M1290" s="970"/>
      <c r="N1290" s="968">
        <v>0</v>
      </c>
      <c r="O1290" s="874"/>
      <c r="P1290" s="960"/>
      <c r="Q1290" s="822"/>
      <c r="R1290" s="961"/>
    </row>
    <row r="1291" spans="1:22" s="444" customFormat="1" ht="36" customHeight="1">
      <c r="A1291" s="672"/>
      <c r="B1291" s="673"/>
      <c r="C1291" s="454"/>
      <c r="D1291" s="442"/>
      <c r="E1291" s="1027" t="s">
        <v>492</v>
      </c>
      <c r="F1291" s="970"/>
      <c r="G1291" s="970"/>
      <c r="H1291" s="967">
        <v>1674.81</v>
      </c>
      <c r="I1291" s="704"/>
      <c r="J1291" s="704"/>
      <c r="K1291" s="532"/>
      <c r="L1291" s="970"/>
      <c r="M1291" s="970"/>
      <c r="N1291" s="968">
        <v>0</v>
      </c>
      <c r="O1291" s="874"/>
      <c r="P1291" s="960"/>
      <c r="Q1291" s="822"/>
      <c r="R1291" s="961"/>
    </row>
    <row r="1292" spans="1:22" s="444" customFormat="1" ht="57" customHeight="1">
      <c r="A1292" s="672"/>
      <c r="B1292" s="673"/>
      <c r="C1292" s="965"/>
      <c r="D1292" s="442"/>
      <c r="E1292" s="1026" t="s">
        <v>467</v>
      </c>
      <c r="F1292" s="955">
        <v>117300</v>
      </c>
      <c r="G1292" s="955">
        <v>111778</v>
      </c>
      <c r="H1292" s="955">
        <v>74715.13</v>
      </c>
      <c r="I1292" s="704"/>
      <c r="J1292" s="704"/>
      <c r="K1292" s="532"/>
      <c r="L1292" s="955">
        <v>0</v>
      </c>
      <c r="M1292" s="955">
        <v>0</v>
      </c>
      <c r="N1292" s="955">
        <v>0</v>
      </c>
      <c r="O1292" s="932">
        <v>0</v>
      </c>
      <c r="P1292" s="960" t="s">
        <v>286</v>
      </c>
      <c r="Q1292" s="822"/>
      <c r="R1292" s="961"/>
    </row>
    <row r="1293" spans="1:22" s="438" customFormat="1" ht="92.25" customHeight="1">
      <c r="A1293" s="558"/>
      <c r="B1293" s="64"/>
      <c r="C1293" s="458" t="s">
        <v>53</v>
      </c>
      <c r="D1293" s="459"/>
      <c r="E1293" s="462" t="s">
        <v>254</v>
      </c>
      <c r="F1293" s="525"/>
      <c r="G1293" s="278"/>
      <c r="H1293" s="278"/>
      <c r="I1293" s="278"/>
      <c r="J1293" s="278"/>
      <c r="K1293" s="457">
        <f>122000-15000</f>
        <v>107000</v>
      </c>
      <c r="L1293" s="457">
        <f t="shared" ref="L1293:L1303" si="147">SUM(F1293:K1293)</f>
        <v>107000</v>
      </c>
      <c r="M1293" s="457">
        <v>107000</v>
      </c>
      <c r="N1293" s="457">
        <v>48293.52</v>
      </c>
      <c r="O1293" s="877">
        <f>N1293/M1293</f>
        <v>0.45134130841121495</v>
      </c>
      <c r="P1293" s="761" t="s">
        <v>286</v>
      </c>
    </row>
    <row r="1294" spans="1:22" s="275" customFormat="1" ht="66.75" customHeight="1">
      <c r="A1294" s="705"/>
      <c r="B1294" s="78">
        <v>80153</v>
      </c>
      <c r="C1294" s="77"/>
      <c r="D1294" s="181"/>
      <c r="E1294" s="180" t="s">
        <v>553</v>
      </c>
      <c r="F1294" s="414">
        <f t="shared" ref="F1294:J1294" si="148">F1295</f>
        <v>0</v>
      </c>
      <c r="G1294" s="95">
        <f t="shared" si="148"/>
        <v>0</v>
      </c>
      <c r="H1294" s="95">
        <f t="shared" si="148"/>
        <v>0</v>
      </c>
      <c r="I1294" s="95">
        <f t="shared" si="148"/>
        <v>0</v>
      </c>
      <c r="J1294" s="95">
        <f t="shared" si="148"/>
        <v>0</v>
      </c>
      <c r="K1294" s="95" t="e">
        <f>K1295+#REF!</f>
        <v>#REF!</v>
      </c>
      <c r="L1294" s="95">
        <f>L1295</f>
        <v>0</v>
      </c>
      <c r="M1294" s="95">
        <f>M1295</f>
        <v>197190.25</v>
      </c>
      <c r="N1294" s="95">
        <f>N1295</f>
        <v>14508.45</v>
      </c>
      <c r="O1294" s="868">
        <f>N1294/M1294</f>
        <v>7.3575899416933654E-2</v>
      </c>
      <c r="P1294" s="997" t="s">
        <v>286</v>
      </c>
      <c r="Q1294" s="780"/>
    </row>
    <row r="1295" spans="1:22" s="438" customFormat="1" ht="131.25" customHeight="1">
      <c r="A1295" s="803"/>
      <c r="B1295" s="658"/>
      <c r="C1295" s="559">
        <v>1</v>
      </c>
      <c r="D1295" s="560"/>
      <c r="E1295" s="561" t="s">
        <v>554</v>
      </c>
      <c r="F1295" s="562"/>
      <c r="G1295" s="998"/>
      <c r="H1295" s="998"/>
      <c r="I1295" s="998"/>
      <c r="J1295" s="998"/>
      <c r="K1295" s="680">
        <v>540000</v>
      </c>
      <c r="L1295" s="680">
        <f>SUM(L1297:L1300)</f>
        <v>0</v>
      </c>
      <c r="M1295" s="680">
        <f>SUM(M1297:M1300)</f>
        <v>197190.25</v>
      </c>
      <c r="N1295" s="680">
        <f>SUM(N1297:N1300)</f>
        <v>14508.45</v>
      </c>
      <c r="O1295" s="915">
        <f>N1295/M1295</f>
        <v>7.3575899416933654E-2</v>
      </c>
      <c r="P1295" s="999" t="s">
        <v>286</v>
      </c>
      <c r="Q1295" s="776"/>
      <c r="R1295" s="776"/>
      <c r="S1295" s="776"/>
      <c r="U1295" s="435"/>
      <c r="V1295" s="435"/>
    </row>
    <row r="1296" spans="1:22" s="444" customFormat="1" ht="33" customHeight="1">
      <c r="A1296" s="672"/>
      <c r="B1296" s="673"/>
      <c r="C1296" s="454"/>
      <c r="D1296" s="442"/>
      <c r="E1296" s="440" t="s">
        <v>16</v>
      </c>
      <c r="F1296" s="674"/>
      <c r="G1296" s="675"/>
      <c r="H1296" s="675"/>
      <c r="I1296" s="675"/>
      <c r="J1296" s="675"/>
      <c r="K1296" s="737"/>
      <c r="L1296" s="737"/>
      <c r="M1296" s="737"/>
      <c r="N1296" s="737"/>
      <c r="O1296" s="1000"/>
      <c r="P1296" s="1001"/>
      <c r="Q1296" s="767"/>
      <c r="R1296" s="767"/>
      <c r="S1296" s="767"/>
    </row>
    <row r="1297" spans="1:19" s="438" customFormat="1" ht="35.1" customHeight="1">
      <c r="A1297" s="803"/>
      <c r="B1297" s="658"/>
      <c r="C1297" s="63"/>
      <c r="D1297" s="1002" t="s">
        <v>3</v>
      </c>
      <c r="E1297" s="440" t="s">
        <v>555</v>
      </c>
      <c r="F1297" s="660"/>
      <c r="G1297" s="661"/>
      <c r="H1297" s="661"/>
      <c r="I1297" s="661"/>
      <c r="J1297" s="661"/>
      <c r="K1297" s="708"/>
      <c r="L1297" s="656">
        <v>0</v>
      </c>
      <c r="M1297" s="656">
        <v>96995.25</v>
      </c>
      <c r="N1297" s="656">
        <v>0</v>
      </c>
      <c r="O1297" s="873">
        <f>N1297/M1297</f>
        <v>0</v>
      </c>
      <c r="P1297" s="1003" t="s">
        <v>286</v>
      </c>
      <c r="Q1297" s="761"/>
      <c r="R1297" s="761"/>
      <c r="S1297" s="761"/>
    </row>
    <row r="1298" spans="1:19" s="438" customFormat="1" ht="35.1" customHeight="1">
      <c r="A1298" s="803"/>
      <c r="B1298" s="658"/>
      <c r="C1298" s="63"/>
      <c r="D1298" s="1002" t="s">
        <v>3</v>
      </c>
      <c r="E1298" s="440" t="s">
        <v>556</v>
      </c>
      <c r="F1298" s="660"/>
      <c r="G1298" s="661"/>
      <c r="H1298" s="661"/>
      <c r="I1298" s="661"/>
      <c r="J1298" s="661"/>
      <c r="K1298" s="708"/>
      <c r="L1298" s="656">
        <v>0</v>
      </c>
      <c r="M1298" s="656">
        <v>14508.45</v>
      </c>
      <c r="N1298" s="656">
        <v>14508.45</v>
      </c>
      <c r="O1298" s="873">
        <f>N1298/M1298</f>
        <v>1</v>
      </c>
      <c r="P1298" s="1003" t="s">
        <v>286</v>
      </c>
      <c r="Q1298" s="761"/>
      <c r="R1298" s="761"/>
      <c r="S1298" s="761"/>
    </row>
    <row r="1299" spans="1:19" s="438" customFormat="1" ht="35.1" customHeight="1">
      <c r="A1299" s="803"/>
      <c r="B1299" s="658"/>
      <c r="C1299" s="63"/>
      <c r="D1299" s="1002" t="s">
        <v>3</v>
      </c>
      <c r="E1299" s="440" t="s">
        <v>557</v>
      </c>
      <c r="F1299" s="660"/>
      <c r="G1299" s="661"/>
      <c r="H1299" s="661"/>
      <c r="I1299" s="661"/>
      <c r="J1299" s="661"/>
      <c r="K1299" s="708"/>
      <c r="L1299" s="656">
        <v>0</v>
      </c>
      <c r="M1299" s="656">
        <v>83734.2</v>
      </c>
      <c r="N1299" s="656">
        <v>0</v>
      </c>
      <c r="O1299" s="873">
        <f>N1299/M1299</f>
        <v>0</v>
      </c>
      <c r="P1299" s="1003" t="s">
        <v>286</v>
      </c>
      <c r="Q1299" s="761"/>
      <c r="R1299" s="761"/>
      <c r="S1299" s="761"/>
    </row>
    <row r="1300" spans="1:19" s="438" customFormat="1" ht="35.1" customHeight="1">
      <c r="A1300" s="803"/>
      <c r="B1300" s="658"/>
      <c r="C1300" s="63"/>
      <c r="D1300" s="1002" t="s">
        <v>3</v>
      </c>
      <c r="E1300" s="440" t="s">
        <v>558</v>
      </c>
      <c r="F1300" s="660"/>
      <c r="G1300" s="661"/>
      <c r="H1300" s="661"/>
      <c r="I1300" s="661"/>
      <c r="J1300" s="661"/>
      <c r="K1300" s="708"/>
      <c r="L1300" s="656">
        <v>0</v>
      </c>
      <c r="M1300" s="656">
        <v>1952.35</v>
      </c>
      <c r="N1300" s="656">
        <v>0</v>
      </c>
      <c r="O1300" s="873">
        <v>0</v>
      </c>
      <c r="P1300" s="1003" t="s">
        <v>286</v>
      </c>
      <c r="Q1300" s="761"/>
      <c r="R1300" s="761"/>
      <c r="S1300" s="761"/>
    </row>
    <row r="1301" spans="1:19" s="269" customFormat="1" ht="61.5" customHeight="1">
      <c r="A1301" s="558"/>
      <c r="B1301" s="78">
        <v>80195</v>
      </c>
      <c r="C1301" s="77"/>
      <c r="D1301" s="76"/>
      <c r="E1301" s="75" t="s">
        <v>8</v>
      </c>
      <c r="F1301" s="414">
        <f t="shared" ref="F1301:K1301" si="149">F1302+F1303+F1307+F1312+F1313+F1315+F1316+F1320</f>
        <v>0</v>
      </c>
      <c r="G1301" s="414">
        <f t="shared" si="149"/>
        <v>0</v>
      </c>
      <c r="H1301" s="414">
        <f t="shared" si="149"/>
        <v>34865</v>
      </c>
      <c r="I1301" s="414">
        <f t="shared" si="149"/>
        <v>0</v>
      </c>
      <c r="J1301" s="414">
        <f t="shared" si="149"/>
        <v>0</v>
      </c>
      <c r="K1301" s="414">
        <f t="shared" si="149"/>
        <v>332330</v>
      </c>
      <c r="L1301" s="95">
        <f>SUM(F1301:K1301)</f>
        <v>367195</v>
      </c>
      <c r="M1301" s="95">
        <f>M1302+M1303+M1307+M1312+M1313+M1315+M1316+M1320</f>
        <v>367295</v>
      </c>
      <c r="N1301" s="95">
        <f>N1302+N1303+N1307+N1312+N1313+N1315+N1316+N1320</f>
        <v>205815.97999999998</v>
      </c>
      <c r="O1301" s="868">
        <f>N1301/M1301</f>
        <v>0.56035606256551274</v>
      </c>
      <c r="P1301" s="761" t="s">
        <v>286</v>
      </c>
    </row>
    <row r="1302" spans="1:19" s="202" customFormat="1" ht="72.75" customHeight="1">
      <c r="A1302" s="558"/>
      <c r="B1302" s="204"/>
      <c r="C1302" s="214">
        <v>1</v>
      </c>
      <c r="D1302" s="268"/>
      <c r="E1302" s="225" t="s">
        <v>372</v>
      </c>
      <c r="F1302" s="419"/>
      <c r="G1302" s="418"/>
      <c r="H1302" s="418"/>
      <c r="I1302" s="418"/>
      <c r="J1302" s="418"/>
      <c r="K1302" s="418">
        <f>48000-3000</f>
        <v>45000</v>
      </c>
      <c r="L1302" s="418">
        <f t="shared" si="147"/>
        <v>45000</v>
      </c>
      <c r="M1302" s="418">
        <v>45000</v>
      </c>
      <c r="N1302" s="418">
        <f>6574.36+11773.24</f>
        <v>18347.599999999999</v>
      </c>
      <c r="O1302" s="876">
        <f>N1302/M1302</f>
        <v>0.40772444444444439</v>
      </c>
      <c r="P1302" s="761" t="s">
        <v>286</v>
      </c>
    </row>
    <row r="1303" spans="1:19" s="202" customFormat="1" ht="52.5" customHeight="1">
      <c r="A1303" s="558"/>
      <c r="B1303" s="204"/>
      <c r="C1303" s="203">
        <v>2</v>
      </c>
      <c r="D1303" s="118"/>
      <c r="E1303" s="114" t="s">
        <v>47</v>
      </c>
      <c r="F1303" s="209"/>
      <c r="G1303" s="456"/>
      <c r="H1303" s="456"/>
      <c r="I1303" s="456"/>
      <c r="J1303" s="456"/>
      <c r="K1303" s="457">
        <f>SUM(K1305:K1306)</f>
        <v>205330</v>
      </c>
      <c r="L1303" s="457">
        <f t="shared" si="147"/>
        <v>205330</v>
      </c>
      <c r="M1303" s="457">
        <f>M1305+M1306</f>
        <v>205330</v>
      </c>
      <c r="N1303" s="457">
        <f>N1305+N1306</f>
        <v>155291</v>
      </c>
      <c r="O1303" s="877">
        <f>N1303/M1303</f>
        <v>0.75629961525349443</v>
      </c>
      <c r="P1303" s="761" t="s">
        <v>286</v>
      </c>
    </row>
    <row r="1304" spans="1:19" s="262" customFormat="1" ht="30" customHeight="1">
      <c r="A1304" s="428"/>
      <c r="B1304" s="265"/>
      <c r="C1304" s="30"/>
      <c r="D1304" s="264"/>
      <c r="E1304" s="263" t="s">
        <v>16</v>
      </c>
      <c r="F1304" s="529"/>
      <c r="G1304" s="529"/>
      <c r="H1304" s="529"/>
      <c r="I1304" s="529"/>
      <c r="J1304" s="529"/>
      <c r="K1304" s="529"/>
      <c r="L1304" s="530"/>
      <c r="M1304" s="530"/>
      <c r="N1304" s="530"/>
      <c r="O1304" s="919"/>
      <c r="P1304" s="767"/>
    </row>
    <row r="1305" spans="1:19" s="267" customFormat="1" ht="39.9" customHeight="1">
      <c r="A1305" s="493"/>
      <c r="B1305" s="261"/>
      <c r="C1305" s="216"/>
      <c r="D1305" s="260" t="s">
        <v>3</v>
      </c>
      <c r="E1305" s="259" t="s">
        <v>192</v>
      </c>
      <c r="F1305" s="524"/>
      <c r="G1305" s="215"/>
      <c r="H1305" s="215"/>
      <c r="I1305" s="215"/>
      <c r="J1305" s="258"/>
      <c r="K1305" s="107">
        <v>129330</v>
      </c>
      <c r="L1305" s="107">
        <f t="shared" ref="L1305:L1306" si="150">SUM(F1305:K1305)</f>
        <v>129330</v>
      </c>
      <c r="M1305" s="107">
        <v>129330</v>
      </c>
      <c r="N1305" s="107">
        <v>98291</v>
      </c>
      <c r="O1305" s="884">
        <f>N1305/M1305</f>
        <v>0.76000154643160911</v>
      </c>
      <c r="P1305" s="783" t="s">
        <v>286</v>
      </c>
    </row>
    <row r="1306" spans="1:19" s="257" customFormat="1" ht="39.9" customHeight="1">
      <c r="A1306" s="493"/>
      <c r="B1306" s="261"/>
      <c r="C1306" s="216"/>
      <c r="D1306" s="260" t="s">
        <v>3</v>
      </c>
      <c r="E1306" s="171" t="s">
        <v>233</v>
      </c>
      <c r="F1306" s="524"/>
      <c r="G1306" s="215"/>
      <c r="H1306" s="215"/>
      <c r="I1306" s="215"/>
      <c r="J1306" s="258"/>
      <c r="K1306" s="107">
        <v>76000</v>
      </c>
      <c r="L1306" s="107">
        <f t="shared" si="150"/>
        <v>76000</v>
      </c>
      <c r="M1306" s="107">
        <v>76000</v>
      </c>
      <c r="N1306" s="107">
        <v>57000</v>
      </c>
      <c r="O1306" s="884">
        <f>N1306/M1306</f>
        <v>0.75</v>
      </c>
      <c r="P1306" s="784" t="s">
        <v>286</v>
      </c>
    </row>
    <row r="1307" spans="1:19" s="202" customFormat="1" ht="49.5" customHeight="1">
      <c r="A1307" s="558"/>
      <c r="B1307" s="204"/>
      <c r="C1307" s="203">
        <v>3</v>
      </c>
      <c r="D1307" s="118"/>
      <c r="E1307" s="266" t="s">
        <v>46</v>
      </c>
      <c r="F1307" s="209"/>
      <c r="G1307" s="456"/>
      <c r="H1307" s="456"/>
      <c r="I1307" s="456"/>
      <c r="J1307" s="456"/>
      <c r="K1307" s="457">
        <f>K1309</f>
        <v>16000</v>
      </c>
      <c r="L1307" s="457">
        <f>L1309</f>
        <v>16000</v>
      </c>
      <c r="M1307" s="457">
        <f>M1309+M1310+M1311</f>
        <v>16100</v>
      </c>
      <c r="N1307" s="457">
        <f>N1309+N1310+N1311</f>
        <v>2100</v>
      </c>
      <c r="O1307" s="877">
        <f>N1307/M1307</f>
        <v>0.13043478260869565</v>
      </c>
      <c r="P1307" s="761" t="s">
        <v>286</v>
      </c>
    </row>
    <row r="1308" spans="1:19" s="262" customFormat="1" ht="30" customHeight="1">
      <c r="A1308" s="428"/>
      <c r="B1308" s="265"/>
      <c r="C1308" s="30"/>
      <c r="D1308" s="264"/>
      <c r="E1308" s="263" t="s">
        <v>16</v>
      </c>
      <c r="F1308" s="529"/>
      <c r="G1308" s="529"/>
      <c r="H1308" s="529"/>
      <c r="I1308" s="529"/>
      <c r="J1308" s="529"/>
      <c r="K1308" s="529"/>
      <c r="L1308" s="530"/>
      <c r="M1308" s="530"/>
      <c r="N1308" s="530"/>
      <c r="O1308" s="919"/>
      <c r="P1308" s="767"/>
    </row>
    <row r="1309" spans="1:19" s="257" customFormat="1" ht="41.25" customHeight="1">
      <c r="A1309" s="493"/>
      <c r="B1309" s="261"/>
      <c r="C1309" s="216"/>
      <c r="D1309" s="260" t="s">
        <v>3</v>
      </c>
      <c r="E1309" s="259" t="s">
        <v>45</v>
      </c>
      <c r="F1309" s="524"/>
      <c r="G1309" s="215"/>
      <c r="H1309" s="215"/>
      <c r="I1309" s="215"/>
      <c r="J1309" s="258"/>
      <c r="K1309" s="107">
        <f>12000+4000</f>
        <v>16000</v>
      </c>
      <c r="L1309" s="107">
        <f t="shared" ref="L1309:L1313" si="151">SUM(F1309:K1309)</f>
        <v>16000</v>
      </c>
      <c r="M1309" s="107">
        <v>0</v>
      </c>
      <c r="N1309" s="107">
        <v>0</v>
      </c>
      <c r="O1309" s="884">
        <v>0</v>
      </c>
      <c r="P1309" s="784" t="s">
        <v>286</v>
      </c>
    </row>
    <row r="1310" spans="1:19" s="257" customFormat="1" ht="41.25" customHeight="1">
      <c r="A1310" s="493"/>
      <c r="B1310" s="261"/>
      <c r="C1310" s="454"/>
      <c r="D1310" s="260" t="s">
        <v>3</v>
      </c>
      <c r="E1310" s="259" t="s">
        <v>192</v>
      </c>
      <c r="F1310" s="524"/>
      <c r="G1310" s="215"/>
      <c r="H1310" s="215"/>
      <c r="I1310" s="215"/>
      <c r="J1310" s="258"/>
      <c r="K1310" s="107">
        <f>12000+4000</f>
        <v>16000</v>
      </c>
      <c r="L1310" s="107">
        <v>0</v>
      </c>
      <c r="M1310" s="107">
        <v>10100</v>
      </c>
      <c r="N1310" s="107">
        <v>2100</v>
      </c>
      <c r="O1310" s="884">
        <f>N1310/M1310</f>
        <v>0.20792079207920791</v>
      </c>
      <c r="P1310" s="784" t="s">
        <v>286</v>
      </c>
    </row>
    <row r="1311" spans="1:19" s="257" customFormat="1" ht="41.25" customHeight="1">
      <c r="A1311" s="493"/>
      <c r="B1311" s="261"/>
      <c r="C1311" s="454"/>
      <c r="D1311" s="260" t="s">
        <v>3</v>
      </c>
      <c r="E1311" s="259" t="s">
        <v>233</v>
      </c>
      <c r="F1311" s="524"/>
      <c r="G1311" s="215"/>
      <c r="H1311" s="215"/>
      <c r="I1311" s="215"/>
      <c r="J1311" s="258"/>
      <c r="K1311" s="107">
        <f>12000+4000</f>
        <v>16000</v>
      </c>
      <c r="L1311" s="107">
        <v>0</v>
      </c>
      <c r="M1311" s="107">
        <v>6000</v>
      </c>
      <c r="N1311" s="107">
        <v>0</v>
      </c>
      <c r="O1311" s="884">
        <f>N1311/M1311</f>
        <v>0</v>
      </c>
      <c r="P1311" s="784" t="s">
        <v>286</v>
      </c>
    </row>
    <row r="1312" spans="1:19" s="202" customFormat="1" ht="61.5" customHeight="1">
      <c r="A1312" s="558"/>
      <c r="B1312" s="204"/>
      <c r="C1312" s="224">
        <v>4</v>
      </c>
      <c r="D1312" s="89"/>
      <c r="E1312" s="256" t="s">
        <v>44</v>
      </c>
      <c r="F1312" s="221"/>
      <c r="G1312" s="87"/>
      <c r="H1312" s="87"/>
      <c r="I1312" s="87"/>
      <c r="J1312" s="87"/>
      <c r="K1312" s="87">
        <v>35000</v>
      </c>
      <c r="L1312" s="87">
        <f t="shared" si="151"/>
        <v>35000</v>
      </c>
      <c r="M1312" s="87">
        <v>35000</v>
      </c>
      <c r="N1312" s="87">
        <v>0</v>
      </c>
      <c r="O1312" s="879">
        <v>0</v>
      </c>
      <c r="P1312" s="761" t="s">
        <v>286</v>
      </c>
    </row>
    <row r="1313" spans="1:16" s="251" customFormat="1" ht="61.5" customHeight="1">
      <c r="A1313" s="405"/>
      <c r="B1313" s="178"/>
      <c r="C1313" s="185">
        <v>5</v>
      </c>
      <c r="D1313" s="184"/>
      <c r="E1313" s="187" t="s">
        <v>43</v>
      </c>
      <c r="F1313" s="255"/>
      <c r="G1313" s="460"/>
      <c r="H1313" s="460"/>
      <c r="I1313" s="460"/>
      <c r="J1313" s="460"/>
      <c r="K1313" s="460">
        <v>1000</v>
      </c>
      <c r="L1313" s="600">
        <f t="shared" si="151"/>
        <v>1000</v>
      </c>
      <c r="M1313" s="600">
        <v>1000</v>
      </c>
      <c r="N1313" s="600">
        <v>204.4</v>
      </c>
      <c r="O1313" s="920">
        <f>N1313/M1313</f>
        <v>0.2044</v>
      </c>
      <c r="P1313" s="777" t="s">
        <v>286</v>
      </c>
    </row>
    <row r="1314" spans="1:16" s="170" customFormat="1" ht="44.25" customHeight="1">
      <c r="A1314" s="433"/>
      <c r="B1314" s="64"/>
      <c r="C1314" s="63"/>
      <c r="D1314" s="169"/>
      <c r="E1314" s="226" t="s">
        <v>42</v>
      </c>
      <c r="F1314" s="364"/>
      <c r="G1314" s="107"/>
      <c r="H1314" s="107"/>
      <c r="I1314" s="107"/>
      <c r="J1314" s="107"/>
      <c r="K1314" s="107"/>
      <c r="L1314" s="443"/>
      <c r="M1314" s="443"/>
      <c r="N1314" s="443"/>
      <c r="O1314" s="881"/>
      <c r="P1314" s="776"/>
    </row>
    <row r="1315" spans="1:16" s="198" customFormat="1" ht="79.5" customHeight="1">
      <c r="A1315" s="492"/>
      <c r="B1315" s="204"/>
      <c r="C1315" s="203">
        <v>6</v>
      </c>
      <c r="D1315" s="468"/>
      <c r="E1315" s="210" t="s">
        <v>196</v>
      </c>
      <c r="F1315" s="209"/>
      <c r="G1315" s="209"/>
      <c r="H1315" s="209"/>
      <c r="I1315" s="209"/>
      <c r="J1315" s="209"/>
      <c r="K1315" s="209">
        <v>20000</v>
      </c>
      <c r="L1315" s="456">
        <f t="shared" ref="L1315:L1316" si="152">SUM(F1315:K1315)</f>
        <v>20000</v>
      </c>
      <c r="M1315" s="456">
        <v>20000</v>
      </c>
      <c r="N1315" s="456">
        <v>9600</v>
      </c>
      <c r="O1315" s="871">
        <f>N1315/M1315</f>
        <v>0.48</v>
      </c>
      <c r="P1315" s="777" t="s">
        <v>286</v>
      </c>
    </row>
    <row r="1316" spans="1:16" s="198" customFormat="1" ht="108.6" customHeight="1">
      <c r="A1316" s="688"/>
      <c r="B1316" s="689"/>
      <c r="C1316" s="571">
        <v>7</v>
      </c>
      <c r="D1316" s="572"/>
      <c r="E1316" s="690" t="s">
        <v>332</v>
      </c>
      <c r="F1316" s="564"/>
      <c r="G1316" s="564"/>
      <c r="H1316" s="564">
        <f>SUM(H1318:H1319)</f>
        <v>34865</v>
      </c>
      <c r="I1316" s="564"/>
      <c r="J1316" s="564"/>
      <c r="K1316" s="564"/>
      <c r="L1316" s="563">
        <f t="shared" si="152"/>
        <v>34865</v>
      </c>
      <c r="M1316" s="563">
        <f>SUM(M1318:M1319)</f>
        <v>34865</v>
      </c>
      <c r="N1316" s="563">
        <f>SUM(N1318:N1319)</f>
        <v>14385.11</v>
      </c>
      <c r="O1316" s="872">
        <f>N1316/M1316</f>
        <v>0.41259457909077873</v>
      </c>
      <c r="P1316" s="777" t="s">
        <v>286</v>
      </c>
    </row>
    <row r="1317" spans="1:16" s="274" customFormat="1" ht="39.9" customHeight="1">
      <c r="A1317" s="691"/>
      <c r="B1317" s="673"/>
      <c r="C1317" s="454"/>
      <c r="D1317" s="260"/>
      <c r="E1317" s="440" t="s">
        <v>21</v>
      </c>
      <c r="F1317" s="674"/>
      <c r="G1317" s="675"/>
      <c r="H1317" s="675"/>
      <c r="I1317" s="675"/>
      <c r="J1317" s="675"/>
      <c r="K1317" s="675"/>
      <c r="L1317" s="675"/>
      <c r="M1317" s="675"/>
      <c r="N1317" s="675"/>
      <c r="O1317" s="921"/>
      <c r="P1317" s="782"/>
    </row>
    <row r="1318" spans="1:16" s="274" customFormat="1" ht="39.9" customHeight="1">
      <c r="A1318" s="691"/>
      <c r="B1318" s="673"/>
      <c r="C1318" s="454"/>
      <c r="D1318" s="260"/>
      <c r="E1318" s="730" t="s">
        <v>287</v>
      </c>
      <c r="F1318" s="674"/>
      <c r="G1318" s="675"/>
      <c r="H1318" s="675">
        <f>929+133+7560</f>
        <v>8622</v>
      </c>
      <c r="I1318" s="675"/>
      <c r="J1318" s="675"/>
      <c r="K1318" s="675"/>
      <c r="L1318" s="675">
        <f t="shared" ref="L1318:L1320" si="153">SUM(F1318:K1318)</f>
        <v>8622</v>
      </c>
      <c r="M1318" s="675">
        <v>8622</v>
      </c>
      <c r="N1318" s="675">
        <v>4310.25</v>
      </c>
      <c r="O1318" s="921">
        <f>N1318/M1318</f>
        <v>0.49991301322199028</v>
      </c>
      <c r="P1318" s="782" t="s">
        <v>286</v>
      </c>
    </row>
    <row r="1319" spans="1:16" s="274" customFormat="1" ht="39.9" customHeight="1">
      <c r="A1319" s="691"/>
      <c r="B1319" s="673"/>
      <c r="C1319" s="454"/>
      <c r="D1319" s="260"/>
      <c r="E1319" s="730" t="s">
        <v>333</v>
      </c>
      <c r="F1319" s="674"/>
      <c r="G1319" s="675"/>
      <c r="H1319" s="675">
        <f>600+200+600+15853+8740+250</f>
        <v>26243</v>
      </c>
      <c r="I1319" s="675"/>
      <c r="J1319" s="675"/>
      <c r="K1319" s="675"/>
      <c r="L1319" s="675">
        <f t="shared" si="153"/>
        <v>26243</v>
      </c>
      <c r="M1319" s="675">
        <v>26243</v>
      </c>
      <c r="N1319" s="675">
        <v>10074.86</v>
      </c>
      <c r="O1319" s="921">
        <f>N1319/M1319</f>
        <v>0.38390656556033992</v>
      </c>
      <c r="P1319" s="782" t="s">
        <v>286</v>
      </c>
    </row>
    <row r="1320" spans="1:16" s="198" customFormat="1" ht="91.5" customHeight="1">
      <c r="A1320" s="492"/>
      <c r="B1320" s="204"/>
      <c r="C1320" s="794">
        <v>8</v>
      </c>
      <c r="D1320" s="795"/>
      <c r="E1320" s="796" t="s">
        <v>322</v>
      </c>
      <c r="F1320" s="209"/>
      <c r="G1320" s="209"/>
      <c r="H1320" s="209"/>
      <c r="I1320" s="209"/>
      <c r="J1320" s="209"/>
      <c r="K1320" s="209">
        <v>10000</v>
      </c>
      <c r="L1320" s="456">
        <f t="shared" si="153"/>
        <v>10000</v>
      </c>
      <c r="M1320" s="456">
        <v>10000</v>
      </c>
      <c r="N1320" s="456">
        <v>5887.87</v>
      </c>
      <c r="O1320" s="871">
        <f>N1320/M1320</f>
        <v>0.58878699999999995</v>
      </c>
      <c r="P1320" s="777" t="s">
        <v>286</v>
      </c>
    </row>
    <row r="1321" spans="1:16" s="79" customFormat="1" ht="67.95" customHeight="1">
      <c r="A1321" s="650"/>
      <c r="B1321" s="651"/>
      <c r="C1321" s="119"/>
      <c r="D1321" s="856"/>
      <c r="E1321" s="1311" t="s">
        <v>915</v>
      </c>
      <c r="F1321" s="1311"/>
      <c r="G1321" s="1311"/>
      <c r="H1321" s="1311"/>
      <c r="I1321" s="1311"/>
      <c r="J1321" s="1311"/>
      <c r="K1321" s="1311"/>
      <c r="L1321" s="1311"/>
      <c r="M1321" s="1311"/>
      <c r="N1321" s="1311"/>
      <c r="O1321" s="1312"/>
      <c r="P1321" s="760"/>
    </row>
    <row r="1322" spans="1:16" s="124" customFormat="1" ht="53.25" customHeight="1">
      <c r="A1322" s="86">
        <v>13</v>
      </c>
      <c r="B1322" s="85">
        <v>851</v>
      </c>
      <c r="C1322" s="84"/>
      <c r="D1322" s="83"/>
      <c r="E1322" s="126" t="s">
        <v>41</v>
      </c>
      <c r="F1322" s="81">
        <f t="shared" ref="F1322:L1322" si="154">F1323+F1327</f>
        <v>0</v>
      </c>
      <c r="G1322" s="81">
        <f t="shared" si="154"/>
        <v>0</v>
      </c>
      <c r="H1322" s="81">
        <f t="shared" si="154"/>
        <v>0</v>
      </c>
      <c r="I1322" s="81">
        <f t="shared" si="154"/>
        <v>0</v>
      </c>
      <c r="J1322" s="81">
        <f t="shared" si="154"/>
        <v>0</v>
      </c>
      <c r="K1322" s="81">
        <f t="shared" si="154"/>
        <v>450271</v>
      </c>
      <c r="L1322" s="80">
        <f t="shared" si="154"/>
        <v>450271</v>
      </c>
      <c r="M1322" s="80">
        <f t="shared" ref="M1322:N1322" si="155">M1323+M1327</f>
        <v>450271</v>
      </c>
      <c r="N1322" s="80">
        <f t="shared" si="155"/>
        <v>188774.48</v>
      </c>
      <c r="O1322" s="867">
        <f>N1322/M1322</f>
        <v>0.41924636496687551</v>
      </c>
      <c r="P1322" s="760" t="s">
        <v>286</v>
      </c>
    </row>
    <row r="1323" spans="1:16" s="67" customFormat="1" ht="53.25" customHeight="1">
      <c r="A1323" s="394"/>
      <c r="B1323" s="78">
        <v>85153</v>
      </c>
      <c r="C1323" s="77"/>
      <c r="D1323" s="76"/>
      <c r="E1323" s="75" t="s">
        <v>40</v>
      </c>
      <c r="F1323" s="95">
        <f>F1324+F1326</f>
        <v>0</v>
      </c>
      <c r="G1323" s="95">
        <f t="shared" ref="G1323:K1323" si="156">G1324+G1326</f>
        <v>0</v>
      </c>
      <c r="H1323" s="95">
        <f t="shared" si="156"/>
        <v>0</v>
      </c>
      <c r="I1323" s="95">
        <f t="shared" si="156"/>
        <v>0</v>
      </c>
      <c r="J1323" s="95">
        <f t="shared" si="156"/>
        <v>0</v>
      </c>
      <c r="K1323" s="95">
        <f t="shared" si="156"/>
        <v>41250</v>
      </c>
      <c r="L1323" s="95">
        <f t="shared" ref="L1323:L1324" si="157">SUM(F1323:K1323)</f>
        <v>41250</v>
      </c>
      <c r="M1323" s="95">
        <f>M1324+M1326</f>
        <v>41250</v>
      </c>
      <c r="N1323" s="95">
        <f>N1324+N1326</f>
        <v>33250</v>
      </c>
      <c r="O1323" s="868">
        <f>N1323/M1323</f>
        <v>0.80606060606060603</v>
      </c>
      <c r="P1323" s="760" t="s">
        <v>286</v>
      </c>
    </row>
    <row r="1324" spans="1:16" s="79" customFormat="1" ht="55.2" customHeight="1">
      <c r="A1324" s="394"/>
      <c r="B1324" s="129"/>
      <c r="C1324" s="250">
        <v>1</v>
      </c>
      <c r="D1324" s="249"/>
      <c r="E1324" s="141" t="s">
        <v>422</v>
      </c>
      <c r="F1324" s="128"/>
      <c r="G1324" s="367"/>
      <c r="H1324" s="367"/>
      <c r="I1324" s="367"/>
      <c r="J1324" s="367"/>
      <c r="K1324" s="367">
        <v>30000</v>
      </c>
      <c r="L1324" s="127">
        <f t="shared" si="157"/>
        <v>30000</v>
      </c>
      <c r="M1324" s="127">
        <v>30000</v>
      </c>
      <c r="N1324" s="127">
        <v>30000</v>
      </c>
      <c r="O1324" s="922">
        <f>N1324/M1324</f>
        <v>1</v>
      </c>
      <c r="P1324" s="760" t="s">
        <v>286</v>
      </c>
    </row>
    <row r="1325" spans="1:16" s="79" customFormat="1" ht="67.95" customHeight="1">
      <c r="A1325" s="650"/>
      <c r="B1325" s="651"/>
      <c r="C1325" s="119"/>
      <c r="D1325" s="856"/>
      <c r="E1325" s="1323" t="s">
        <v>846</v>
      </c>
      <c r="F1325" s="1323"/>
      <c r="G1325" s="1323"/>
      <c r="H1325" s="1323"/>
      <c r="I1325" s="1323"/>
      <c r="J1325" s="1323"/>
      <c r="K1325" s="1323"/>
      <c r="L1325" s="1323"/>
      <c r="M1325" s="1323"/>
      <c r="N1325" s="1323"/>
      <c r="O1325" s="1324"/>
      <c r="P1325" s="760"/>
    </row>
    <row r="1326" spans="1:16" s="79" customFormat="1" ht="111.75" customHeight="1">
      <c r="A1326" s="394"/>
      <c r="B1326" s="129"/>
      <c r="C1326" s="692">
        <v>2</v>
      </c>
      <c r="D1326" s="134"/>
      <c r="E1326" s="1224" t="s">
        <v>291</v>
      </c>
      <c r="F1326" s="1225"/>
      <c r="G1326" s="161"/>
      <c r="H1326" s="161"/>
      <c r="I1326" s="161"/>
      <c r="J1326" s="161"/>
      <c r="K1326" s="161">
        <v>11250</v>
      </c>
      <c r="L1326" s="1226">
        <f t="shared" ref="L1326:L1328" si="158">SUM(F1326:K1326)</f>
        <v>11250</v>
      </c>
      <c r="M1326" s="1226">
        <v>11250</v>
      </c>
      <c r="N1326" s="1226">
        <v>3250</v>
      </c>
      <c r="O1326" s="1227">
        <f>N1326/M1326</f>
        <v>0.28888888888888886</v>
      </c>
      <c r="P1326" s="760" t="s">
        <v>286</v>
      </c>
    </row>
    <row r="1327" spans="1:16" s="67" customFormat="1" ht="54.75" customHeight="1">
      <c r="A1327" s="394"/>
      <c r="B1327" s="78">
        <v>85154</v>
      </c>
      <c r="C1327" s="248"/>
      <c r="D1327" s="247"/>
      <c r="E1327" s="246" t="s">
        <v>39</v>
      </c>
      <c r="F1327" s="504">
        <f t="shared" ref="F1327:K1327" si="159">F1328+F1330+F1331+F1332+F1342+F1343+F1345+F1351+F1353</f>
        <v>0</v>
      </c>
      <c r="G1327" s="504">
        <f t="shared" si="159"/>
        <v>0</v>
      </c>
      <c r="H1327" s="504">
        <f t="shared" si="159"/>
        <v>0</v>
      </c>
      <c r="I1327" s="504">
        <f t="shared" si="159"/>
        <v>0</v>
      </c>
      <c r="J1327" s="504">
        <f t="shared" si="159"/>
        <v>0</v>
      </c>
      <c r="K1327" s="504">
        <f t="shared" si="159"/>
        <v>409021</v>
      </c>
      <c r="L1327" s="95">
        <f t="shared" si="158"/>
        <v>409021</v>
      </c>
      <c r="M1327" s="95">
        <f>M1328+M1330+M1331+M1332+M1342+M1343+M1345+M1351+M1353+M1355+M1357</f>
        <v>409021</v>
      </c>
      <c r="N1327" s="95">
        <f>N1328+N1330+N1331+N1332+N1342+N1343+N1345+N1351+N1353+N1355+N1357</f>
        <v>155524.48000000001</v>
      </c>
      <c r="O1327" s="868">
        <f>N1327/M1327</f>
        <v>0.3802359292065689</v>
      </c>
      <c r="P1327" s="760" t="s">
        <v>286</v>
      </c>
    </row>
    <row r="1328" spans="1:16" s="233" customFormat="1" ht="66" customHeight="1">
      <c r="A1328" s="401"/>
      <c r="B1328" s="91"/>
      <c r="C1328" s="245">
        <v>1</v>
      </c>
      <c r="D1328" s="156"/>
      <c r="E1328" s="244" t="s">
        <v>38</v>
      </c>
      <c r="F1328" s="531"/>
      <c r="G1328" s="243"/>
      <c r="H1328" s="243"/>
      <c r="I1328" s="243"/>
      <c r="J1328" s="243"/>
      <c r="K1328" s="243">
        <f>48100+2000+12000+5000+1000+13850</f>
        <v>81950</v>
      </c>
      <c r="L1328" s="242">
        <f t="shared" si="158"/>
        <v>81950</v>
      </c>
      <c r="M1328" s="242">
        <v>81950</v>
      </c>
      <c r="N1328" s="242">
        <v>18677.560000000001</v>
      </c>
      <c r="O1328" s="924">
        <f>N1328/M1328</f>
        <v>0.22791409395973156</v>
      </c>
      <c r="P1328" s="762" t="s">
        <v>286</v>
      </c>
    </row>
    <row r="1329" spans="1:18" s="1231" customFormat="1" ht="77.25" customHeight="1">
      <c r="A1329" s="1229"/>
      <c r="B1329" s="1230"/>
      <c r="C1329" s="1228"/>
      <c r="D1329" s="240"/>
      <c r="E1329" s="1325" t="s">
        <v>847</v>
      </c>
      <c r="F1329" s="1325"/>
      <c r="G1329" s="1325"/>
      <c r="H1329" s="1325"/>
      <c r="I1329" s="1325"/>
      <c r="J1329" s="1325"/>
      <c r="K1329" s="1325"/>
      <c r="L1329" s="1325"/>
      <c r="M1329" s="1325"/>
      <c r="N1329" s="1325"/>
      <c r="O1329" s="1326"/>
      <c r="P1329" s="762"/>
      <c r="Q1329" s="1041"/>
      <c r="R1329" s="762"/>
    </row>
    <row r="1330" spans="1:18" s="233" customFormat="1" ht="120" customHeight="1">
      <c r="A1330" s="401"/>
      <c r="B1330" s="91"/>
      <c r="C1330" s="90">
        <v>2</v>
      </c>
      <c r="D1330" s="140"/>
      <c r="E1330" s="142" t="s">
        <v>37</v>
      </c>
      <c r="F1330" s="138"/>
      <c r="G1330" s="139"/>
      <c r="H1330" s="139"/>
      <c r="I1330" s="139"/>
      <c r="J1330" s="139"/>
      <c r="K1330" s="139">
        <f>120000-57150</f>
        <v>62850</v>
      </c>
      <c r="L1330" s="137">
        <f t="shared" ref="L1330:L1332" si="160">SUM(F1330:K1330)</f>
        <v>62850</v>
      </c>
      <c r="M1330" s="137">
        <v>13850</v>
      </c>
      <c r="N1330" s="137">
        <v>0</v>
      </c>
      <c r="O1330" s="901">
        <v>0</v>
      </c>
      <c r="P1330" s="762" t="s">
        <v>286</v>
      </c>
    </row>
    <row r="1331" spans="1:18" s="233" customFormat="1" ht="93.6" customHeight="1">
      <c r="A1331" s="401"/>
      <c r="B1331" s="91"/>
      <c r="C1331" s="90">
        <v>3</v>
      </c>
      <c r="D1331" s="140"/>
      <c r="E1331" s="142" t="s">
        <v>161</v>
      </c>
      <c r="F1331" s="138"/>
      <c r="G1331" s="139"/>
      <c r="H1331" s="139"/>
      <c r="I1331" s="139"/>
      <c r="J1331" s="139"/>
      <c r="K1331" s="139">
        <v>70000</v>
      </c>
      <c r="L1331" s="137">
        <f t="shared" si="160"/>
        <v>70000</v>
      </c>
      <c r="M1331" s="137">
        <v>70000</v>
      </c>
      <c r="N1331" s="137">
        <v>8835.5</v>
      </c>
      <c r="O1331" s="901">
        <f>N1331/M1331</f>
        <v>0.12622142857142857</v>
      </c>
      <c r="P1331" s="762" t="s">
        <v>286</v>
      </c>
    </row>
    <row r="1332" spans="1:18" s="233" customFormat="1" ht="157.19999999999999" customHeight="1">
      <c r="A1332" s="401"/>
      <c r="B1332" s="402"/>
      <c r="C1332" s="594">
        <v>4</v>
      </c>
      <c r="D1332" s="603"/>
      <c r="E1332" s="597" t="s">
        <v>178</v>
      </c>
      <c r="F1332" s="588"/>
      <c r="G1332" s="596"/>
      <c r="H1332" s="596"/>
      <c r="I1332" s="596"/>
      <c r="J1332" s="596"/>
      <c r="K1332" s="596">
        <v>40000</v>
      </c>
      <c r="L1332" s="589">
        <f t="shared" si="160"/>
        <v>40000</v>
      </c>
      <c r="M1332" s="1102">
        <v>40000</v>
      </c>
      <c r="N1332" s="589">
        <v>1113.3699999999999</v>
      </c>
      <c r="O1332" s="1103">
        <f>N1332/M1332</f>
        <v>2.7834249999999998E-2</v>
      </c>
      <c r="P1332" s="762" t="s">
        <v>286</v>
      </c>
    </row>
    <row r="1333" spans="1:18" s="617" customFormat="1" ht="42" customHeight="1">
      <c r="A1333" s="615"/>
      <c r="B1333" s="397"/>
      <c r="C1333" s="605"/>
      <c r="D1333" s="616" t="s">
        <v>183</v>
      </c>
      <c r="E1333" s="1275" t="s">
        <v>288</v>
      </c>
      <c r="F1333" s="1275"/>
      <c r="G1333" s="1275"/>
      <c r="H1333" s="1275"/>
      <c r="I1333" s="1275"/>
      <c r="J1333" s="1275"/>
      <c r="K1333" s="1275"/>
      <c r="L1333" s="1276"/>
      <c r="M1333" s="764"/>
      <c r="N1333" s="1104"/>
      <c r="O1333" s="1101"/>
      <c r="P1333" s="764"/>
    </row>
    <row r="1334" spans="1:18" s="617" customFormat="1" ht="42" customHeight="1">
      <c r="A1334" s="615"/>
      <c r="B1334" s="397"/>
      <c r="C1334" s="605"/>
      <c r="D1334" s="616" t="s">
        <v>184</v>
      </c>
      <c r="E1334" s="1275" t="s">
        <v>289</v>
      </c>
      <c r="F1334" s="1275"/>
      <c r="G1334" s="1275"/>
      <c r="H1334" s="1275"/>
      <c r="I1334" s="1275"/>
      <c r="J1334" s="1275"/>
      <c r="K1334" s="1275"/>
      <c r="L1334" s="1276"/>
      <c r="M1334" s="764"/>
      <c r="N1334" s="1104"/>
      <c r="O1334" s="1101"/>
      <c r="P1334" s="764"/>
    </row>
    <row r="1335" spans="1:18" s="617" customFormat="1" ht="42" customHeight="1">
      <c r="A1335" s="615"/>
      <c r="B1335" s="397"/>
      <c r="C1335" s="605"/>
      <c r="D1335" s="616" t="s">
        <v>185</v>
      </c>
      <c r="E1335" s="1275" t="s">
        <v>290</v>
      </c>
      <c r="F1335" s="1275"/>
      <c r="G1335" s="1275"/>
      <c r="H1335" s="1275"/>
      <c r="I1335" s="1275"/>
      <c r="J1335" s="1275"/>
      <c r="K1335" s="1275"/>
      <c r="L1335" s="1276"/>
      <c r="M1335" s="764"/>
      <c r="N1335" s="1104"/>
      <c r="O1335" s="1101"/>
      <c r="P1335" s="764"/>
    </row>
    <row r="1336" spans="1:18" s="617" customFormat="1" ht="42" customHeight="1">
      <c r="A1336" s="615"/>
      <c r="B1336" s="397"/>
      <c r="C1336" s="605"/>
      <c r="D1336" s="616" t="s">
        <v>186</v>
      </c>
      <c r="E1336" s="1275" t="s">
        <v>697</v>
      </c>
      <c r="F1336" s="1275"/>
      <c r="G1336" s="1275"/>
      <c r="H1336" s="1275"/>
      <c r="I1336" s="1275"/>
      <c r="J1336" s="1275"/>
      <c r="K1336" s="1275"/>
      <c r="L1336" s="1276"/>
      <c r="M1336" s="764"/>
      <c r="N1336" s="1104"/>
      <c r="O1336" s="1101"/>
      <c r="P1336" s="764"/>
    </row>
    <row r="1337" spans="1:18" s="617" customFormat="1" ht="42" customHeight="1">
      <c r="A1337" s="615"/>
      <c r="B1337" s="397"/>
      <c r="C1337" s="605"/>
      <c r="D1337" s="616" t="s">
        <v>193</v>
      </c>
      <c r="E1337" s="1275" t="s">
        <v>701</v>
      </c>
      <c r="F1337" s="1275"/>
      <c r="G1337" s="1275"/>
      <c r="H1337" s="1275"/>
      <c r="I1337" s="1275"/>
      <c r="J1337" s="1275"/>
      <c r="K1337" s="1275"/>
      <c r="L1337" s="1276"/>
      <c r="M1337" s="764"/>
      <c r="N1337" s="1104"/>
      <c r="O1337" s="1101"/>
      <c r="P1337" s="764"/>
    </row>
    <row r="1338" spans="1:18" s="617" customFormat="1" ht="42" customHeight="1">
      <c r="A1338" s="615"/>
      <c r="B1338" s="397"/>
      <c r="C1338" s="605"/>
      <c r="D1338" s="616" t="s">
        <v>194</v>
      </c>
      <c r="E1338" s="1275" t="s">
        <v>698</v>
      </c>
      <c r="F1338" s="1275"/>
      <c r="G1338" s="1275"/>
      <c r="H1338" s="1275"/>
      <c r="I1338" s="1275"/>
      <c r="J1338" s="1275"/>
      <c r="K1338" s="1275"/>
      <c r="L1338" s="1276"/>
      <c r="M1338" s="764"/>
      <c r="N1338" s="1104"/>
      <c r="O1338" s="1101"/>
      <c r="P1338" s="764"/>
    </row>
    <row r="1339" spans="1:18" s="617" customFormat="1" ht="42" customHeight="1">
      <c r="A1339" s="615"/>
      <c r="B1339" s="397"/>
      <c r="C1339" s="605"/>
      <c r="D1339" s="616" t="s">
        <v>278</v>
      </c>
      <c r="E1339" s="1275" t="s">
        <v>699</v>
      </c>
      <c r="F1339" s="1275"/>
      <c r="G1339" s="1275"/>
      <c r="H1339" s="1275"/>
      <c r="I1339" s="1275"/>
      <c r="J1339" s="1275"/>
      <c r="K1339" s="1275"/>
      <c r="L1339" s="1276"/>
      <c r="M1339" s="764"/>
      <c r="N1339" s="1104"/>
      <c r="O1339" s="1101"/>
      <c r="P1339" s="764"/>
    </row>
    <row r="1340" spans="1:18" s="617" customFormat="1" ht="42" customHeight="1">
      <c r="A1340" s="615"/>
      <c r="B1340" s="397"/>
      <c r="C1340" s="605"/>
      <c r="D1340" s="616" t="s">
        <v>344</v>
      </c>
      <c r="E1340" s="1275" t="s">
        <v>700</v>
      </c>
      <c r="F1340" s="1275"/>
      <c r="G1340" s="1275"/>
      <c r="H1340" s="1275"/>
      <c r="I1340" s="1275"/>
      <c r="J1340" s="1275"/>
      <c r="K1340" s="1275"/>
      <c r="L1340" s="1276"/>
      <c r="M1340" s="764"/>
      <c r="N1340" s="1104"/>
      <c r="O1340" s="1101"/>
      <c r="P1340" s="764"/>
    </row>
    <row r="1341" spans="1:18" s="617" customFormat="1" ht="54.75" customHeight="1">
      <c r="A1341" s="615"/>
      <c r="B1341" s="397"/>
      <c r="C1341" s="618"/>
      <c r="D1341" s="619"/>
      <c r="E1341" s="1304" t="s">
        <v>916</v>
      </c>
      <c r="F1341" s="1304"/>
      <c r="G1341" s="1304"/>
      <c r="H1341" s="1304"/>
      <c r="I1341" s="1304"/>
      <c r="J1341" s="1304"/>
      <c r="K1341" s="1304"/>
      <c r="L1341" s="1305"/>
      <c r="M1341" s="764"/>
      <c r="N1341" s="1104"/>
      <c r="O1341" s="1101"/>
      <c r="P1341" s="764"/>
    </row>
    <row r="1342" spans="1:18" s="79" customFormat="1" ht="97.2" customHeight="1">
      <c r="A1342" s="394"/>
      <c r="B1342" s="129"/>
      <c r="C1342" s="594">
        <v>5</v>
      </c>
      <c r="D1342" s="603"/>
      <c r="E1342" s="724" t="s">
        <v>292</v>
      </c>
      <c r="F1342" s="588"/>
      <c r="G1342" s="596"/>
      <c r="H1342" s="596"/>
      <c r="I1342" s="596"/>
      <c r="J1342" s="596"/>
      <c r="K1342" s="596">
        <v>46100</v>
      </c>
      <c r="L1342" s="711">
        <f t="shared" ref="L1342:L1343" si="161">SUM(F1342:K1342)</f>
        <v>46100</v>
      </c>
      <c r="M1342" s="593">
        <v>46100</v>
      </c>
      <c r="N1342" s="593">
        <v>15378.43</v>
      </c>
      <c r="O1342" s="911">
        <f>N1342/M1342</f>
        <v>0.33358850325379608</v>
      </c>
      <c r="P1342" s="760" t="s">
        <v>286</v>
      </c>
      <c r="R1342" s="79" t="s">
        <v>859</v>
      </c>
    </row>
    <row r="1343" spans="1:18" s="233" customFormat="1" ht="70.5" customHeight="1">
      <c r="A1343" s="401"/>
      <c r="B1343" s="402"/>
      <c r="C1343" s="594">
        <v>6</v>
      </c>
      <c r="D1343" s="603"/>
      <c r="E1343" s="597" t="s">
        <v>187</v>
      </c>
      <c r="F1343" s="588"/>
      <c r="G1343" s="596"/>
      <c r="H1343" s="596"/>
      <c r="I1343" s="596"/>
      <c r="J1343" s="596"/>
      <c r="K1343" s="596">
        <v>30336</v>
      </c>
      <c r="L1343" s="589">
        <f t="shared" si="161"/>
        <v>30336</v>
      </c>
      <c r="M1343" s="589">
        <v>30336</v>
      </c>
      <c r="N1343" s="589">
        <v>2820</v>
      </c>
      <c r="O1343" s="927">
        <f>N1343/M1343</f>
        <v>9.2958860759493667E-2</v>
      </c>
      <c r="P1343" s="762" t="s">
        <v>286</v>
      </c>
    </row>
    <row r="1344" spans="1:18" s="233" customFormat="1" ht="70.5" customHeight="1">
      <c r="A1344" s="401"/>
      <c r="B1344" s="402"/>
      <c r="C1344" s="595"/>
      <c r="D1344" s="134"/>
      <c r="E1344" s="1323" t="s">
        <v>917</v>
      </c>
      <c r="F1344" s="1323"/>
      <c r="G1344" s="1323"/>
      <c r="H1344" s="1323"/>
      <c r="I1344" s="1323"/>
      <c r="J1344" s="1323"/>
      <c r="K1344" s="1323"/>
      <c r="L1344" s="1323"/>
      <c r="M1344" s="1323"/>
      <c r="N1344" s="1323"/>
      <c r="O1344" s="1324"/>
      <c r="P1344" s="762"/>
    </row>
    <row r="1345" spans="1:19" s="233" customFormat="1" ht="88.5" customHeight="1">
      <c r="A1345" s="401"/>
      <c r="B1345" s="91"/>
      <c r="C1345" s="390">
        <v>7</v>
      </c>
      <c r="D1345" s="136"/>
      <c r="E1345" s="141" t="s">
        <v>179</v>
      </c>
      <c r="F1345" s="128"/>
      <c r="G1345" s="367"/>
      <c r="H1345" s="367"/>
      <c r="I1345" s="367"/>
      <c r="J1345" s="367"/>
      <c r="K1345" s="367">
        <f>5250+5100+8200+2085</f>
        <v>20635</v>
      </c>
      <c r="L1345" s="127">
        <f>SUM(L1347:L1350)</f>
        <v>20635</v>
      </c>
      <c r="M1345" s="127">
        <f t="shared" ref="M1345:N1345" si="162">SUM(M1347:M1350)</f>
        <v>20635</v>
      </c>
      <c r="N1345" s="127">
        <f t="shared" si="162"/>
        <v>2549.62</v>
      </c>
      <c r="O1345" s="922">
        <f>N1345/M1345</f>
        <v>0.12355803246910588</v>
      </c>
      <c r="P1345" s="762" t="s">
        <v>286</v>
      </c>
    </row>
    <row r="1346" spans="1:19" s="233" customFormat="1" ht="32.25" customHeight="1">
      <c r="A1346" s="401"/>
      <c r="B1346" s="91"/>
      <c r="C1346" s="241"/>
      <c r="D1346" s="240"/>
      <c r="E1346" s="420" t="s">
        <v>16</v>
      </c>
      <c r="F1346" s="239"/>
      <c r="G1346" s="239"/>
      <c r="H1346" s="239"/>
      <c r="I1346" s="239"/>
      <c r="J1346" s="239"/>
      <c r="K1346" s="977"/>
      <c r="L1346" s="978"/>
      <c r="M1346" s="238"/>
      <c r="N1346" s="238"/>
      <c r="O1346" s="925"/>
      <c r="P1346" s="762"/>
    </row>
    <row r="1347" spans="1:19" s="233" customFormat="1" ht="98.25" customHeight="1">
      <c r="A1347" s="401"/>
      <c r="B1347" s="91"/>
      <c r="C1347" s="15"/>
      <c r="D1347" s="237" t="s">
        <v>3</v>
      </c>
      <c r="E1347" s="976" t="s">
        <v>597</v>
      </c>
      <c r="F1347" s="976"/>
      <c r="G1347" s="976"/>
      <c r="H1347" s="976"/>
      <c r="I1347" s="976"/>
      <c r="J1347" s="976"/>
      <c r="K1347" s="976"/>
      <c r="L1347" s="979">
        <v>5250</v>
      </c>
      <c r="M1347" s="979">
        <v>5250</v>
      </c>
      <c r="N1347" s="979">
        <v>0</v>
      </c>
      <c r="O1347" s="1029">
        <v>0</v>
      </c>
      <c r="P1347" s="762" t="s">
        <v>286</v>
      </c>
    </row>
    <row r="1348" spans="1:19" s="233" customFormat="1" ht="76.5" customHeight="1">
      <c r="A1348" s="401"/>
      <c r="B1348" s="402"/>
      <c r="C1348" s="595"/>
      <c r="D1348" s="237" t="s">
        <v>3</v>
      </c>
      <c r="E1348" s="976" t="s">
        <v>596</v>
      </c>
      <c r="F1348" s="976"/>
      <c r="G1348" s="976"/>
      <c r="H1348" s="976"/>
      <c r="I1348" s="976"/>
      <c r="J1348" s="976"/>
      <c r="K1348" s="976"/>
      <c r="L1348" s="979">
        <v>5100</v>
      </c>
      <c r="M1348" s="979">
        <v>5100</v>
      </c>
      <c r="N1348" s="979">
        <v>350</v>
      </c>
      <c r="O1348" s="1029">
        <f t="shared" ref="O1348" si="163">N1348/M1348</f>
        <v>6.8627450980392163E-2</v>
      </c>
      <c r="P1348" s="762" t="s">
        <v>286</v>
      </c>
    </row>
    <row r="1349" spans="1:19" s="233" customFormat="1" ht="57.6" customHeight="1">
      <c r="A1349" s="401"/>
      <c r="B1349" s="402"/>
      <c r="C1349" s="595"/>
      <c r="D1349" s="237" t="s">
        <v>3</v>
      </c>
      <c r="E1349" s="976" t="s">
        <v>918</v>
      </c>
      <c r="F1349" s="976"/>
      <c r="G1349" s="976"/>
      <c r="H1349" s="976"/>
      <c r="I1349" s="976"/>
      <c r="J1349" s="976"/>
      <c r="K1349" s="976"/>
      <c r="L1349" s="979">
        <v>8200</v>
      </c>
      <c r="M1349" s="979">
        <v>8200</v>
      </c>
      <c r="N1349" s="979">
        <v>1899.62</v>
      </c>
      <c r="O1349" s="1029">
        <f>N1349/M1349</f>
        <v>0.2316609756097561</v>
      </c>
      <c r="P1349" s="762" t="s">
        <v>286</v>
      </c>
    </row>
    <row r="1350" spans="1:19" s="233" customFormat="1" ht="67.5" customHeight="1">
      <c r="A1350" s="401"/>
      <c r="B1350" s="91"/>
      <c r="C1350" s="692"/>
      <c r="D1350" s="237" t="s">
        <v>3</v>
      </c>
      <c r="E1350" s="975" t="s">
        <v>494</v>
      </c>
      <c r="F1350" s="975"/>
      <c r="G1350" s="975"/>
      <c r="H1350" s="975"/>
      <c r="I1350" s="975"/>
      <c r="J1350" s="975"/>
      <c r="K1350" s="975"/>
      <c r="L1350" s="980">
        <v>2085</v>
      </c>
      <c r="M1350" s="980">
        <v>2085</v>
      </c>
      <c r="N1350" s="980">
        <v>300</v>
      </c>
      <c r="O1350" s="981">
        <f>N1350/M1350</f>
        <v>0.14388489208633093</v>
      </c>
      <c r="P1350" s="762" t="s">
        <v>286</v>
      </c>
    </row>
    <row r="1351" spans="1:19" s="233" customFormat="1" ht="61.2" customHeight="1">
      <c r="A1351" s="401"/>
      <c r="B1351" s="91"/>
      <c r="C1351" s="390">
        <v>8</v>
      </c>
      <c r="D1351" s="136"/>
      <c r="E1351" s="141" t="s">
        <v>421</v>
      </c>
      <c r="F1351" s="128"/>
      <c r="G1351" s="367"/>
      <c r="H1351" s="367"/>
      <c r="I1351" s="367"/>
      <c r="J1351" s="367"/>
      <c r="K1351" s="367">
        <v>26510</v>
      </c>
      <c r="L1351" s="127">
        <f>SUM(F1351:K1351)</f>
        <v>26510</v>
      </c>
      <c r="M1351" s="127">
        <v>26510</v>
      </c>
      <c r="N1351" s="127">
        <v>26510</v>
      </c>
      <c r="O1351" s="922">
        <f>N1351/M1351</f>
        <v>1</v>
      </c>
      <c r="P1351" s="762" t="s">
        <v>286</v>
      </c>
    </row>
    <row r="1352" spans="1:19" s="233" customFormat="1" ht="63" customHeight="1">
      <c r="A1352" s="401"/>
      <c r="B1352" s="402"/>
      <c r="C1352" s="595"/>
      <c r="D1352" s="237"/>
      <c r="E1352" s="1323" t="s">
        <v>848</v>
      </c>
      <c r="F1352" s="1323"/>
      <c r="G1352" s="1323"/>
      <c r="H1352" s="1323"/>
      <c r="I1352" s="1323"/>
      <c r="J1352" s="1323"/>
      <c r="K1352" s="1323"/>
      <c r="L1352" s="1323"/>
      <c r="M1352" s="1323"/>
      <c r="N1352" s="1323"/>
      <c r="O1352" s="1324"/>
      <c r="P1352" s="762"/>
      <c r="S1352" s="233" t="s">
        <v>858</v>
      </c>
    </row>
    <row r="1353" spans="1:19" s="233" customFormat="1" ht="61.2" customHeight="1">
      <c r="A1353" s="401"/>
      <c r="B1353" s="91"/>
      <c r="C1353" s="390">
        <v>9</v>
      </c>
      <c r="D1353" s="136"/>
      <c r="E1353" s="141" t="s">
        <v>422</v>
      </c>
      <c r="F1353" s="128"/>
      <c r="G1353" s="367"/>
      <c r="H1353" s="367"/>
      <c r="I1353" s="367"/>
      <c r="J1353" s="367"/>
      <c r="K1353" s="367">
        <v>30640</v>
      </c>
      <c r="L1353" s="127">
        <f>SUM(F1353:K1353)</f>
        <v>30640</v>
      </c>
      <c r="M1353" s="127">
        <v>30640</v>
      </c>
      <c r="N1353" s="127">
        <v>30640</v>
      </c>
      <c r="O1353" s="922">
        <f>N1353/M1353</f>
        <v>1</v>
      </c>
      <c r="P1353" s="762" t="s">
        <v>286</v>
      </c>
    </row>
    <row r="1354" spans="1:19" s="233" customFormat="1" ht="60.6" customHeight="1">
      <c r="A1354" s="401"/>
      <c r="B1354" s="402"/>
      <c r="C1354" s="692"/>
      <c r="D1354" s="237"/>
      <c r="E1354" s="1275" t="s">
        <v>848</v>
      </c>
      <c r="F1354" s="1275"/>
      <c r="G1354" s="1275"/>
      <c r="H1354" s="1275"/>
      <c r="I1354" s="1275"/>
      <c r="J1354" s="1275"/>
      <c r="K1354" s="1275"/>
      <c r="L1354" s="1275"/>
      <c r="M1354" s="1275"/>
      <c r="N1354" s="1275"/>
      <c r="O1354" s="1327"/>
      <c r="P1354" s="762"/>
    </row>
    <row r="1355" spans="1:19" s="233" customFormat="1" ht="61.2" customHeight="1">
      <c r="A1355" s="401"/>
      <c r="B1355" s="91"/>
      <c r="C1355" s="594">
        <v>10</v>
      </c>
      <c r="D1355" s="603"/>
      <c r="E1355" s="597" t="s">
        <v>850</v>
      </c>
      <c r="F1355" s="588"/>
      <c r="G1355" s="596"/>
      <c r="H1355" s="596"/>
      <c r="I1355" s="596"/>
      <c r="J1355" s="596"/>
      <c r="K1355" s="596">
        <v>30640</v>
      </c>
      <c r="L1355" s="589">
        <v>0</v>
      </c>
      <c r="M1355" s="589">
        <v>28000</v>
      </c>
      <c r="N1355" s="589">
        <v>28000</v>
      </c>
      <c r="O1355" s="927">
        <f>N1355/M1355</f>
        <v>1</v>
      </c>
      <c r="P1355" s="762" t="s">
        <v>286</v>
      </c>
    </row>
    <row r="1356" spans="1:19" s="233" customFormat="1" ht="64.8" customHeight="1">
      <c r="A1356" s="401"/>
      <c r="B1356" s="402"/>
      <c r="C1356" s="692"/>
      <c r="D1356" s="237"/>
      <c r="E1356" s="1275" t="s">
        <v>849</v>
      </c>
      <c r="F1356" s="1275"/>
      <c r="G1356" s="1275"/>
      <c r="H1356" s="1275"/>
      <c r="I1356" s="1275"/>
      <c r="J1356" s="1275"/>
      <c r="K1356" s="1275"/>
      <c r="L1356" s="1275"/>
      <c r="M1356" s="1275"/>
      <c r="N1356" s="1275"/>
      <c r="O1356" s="1327"/>
      <c r="P1356" s="762"/>
    </row>
    <row r="1357" spans="1:19" s="233" customFormat="1" ht="61.2" customHeight="1">
      <c r="A1357" s="401"/>
      <c r="B1357" s="91"/>
      <c r="C1357" s="594">
        <v>11</v>
      </c>
      <c r="D1357" s="603"/>
      <c r="E1357" s="597" t="s">
        <v>851</v>
      </c>
      <c r="F1357" s="588"/>
      <c r="G1357" s="596"/>
      <c r="H1357" s="596"/>
      <c r="I1357" s="596"/>
      <c r="J1357" s="596"/>
      <c r="K1357" s="596">
        <v>30640</v>
      </c>
      <c r="L1357" s="589">
        <v>0</v>
      </c>
      <c r="M1357" s="589">
        <v>21000</v>
      </c>
      <c r="N1357" s="589">
        <v>21000</v>
      </c>
      <c r="O1357" s="927">
        <f>N1357/M1357</f>
        <v>1</v>
      </c>
      <c r="P1357" s="762" t="s">
        <v>286</v>
      </c>
    </row>
    <row r="1358" spans="1:19" s="233" customFormat="1" ht="84.75" customHeight="1">
      <c r="A1358" s="401"/>
      <c r="B1358" s="402"/>
      <c r="C1358" s="595"/>
      <c r="D1358" s="237"/>
      <c r="E1358" s="1311" t="s">
        <v>852</v>
      </c>
      <c r="F1358" s="1311"/>
      <c r="G1358" s="1311"/>
      <c r="H1358" s="1311"/>
      <c r="I1358" s="1311"/>
      <c r="J1358" s="1311"/>
      <c r="K1358" s="1311"/>
      <c r="L1358" s="1311"/>
      <c r="M1358" s="1311"/>
      <c r="N1358" s="1311"/>
      <c r="O1358" s="1312"/>
      <c r="P1358" s="762"/>
    </row>
    <row r="1359" spans="1:19" s="124" customFormat="1" ht="59.25" customHeight="1">
      <c r="A1359" s="86">
        <v>14</v>
      </c>
      <c r="B1359" s="85">
        <v>852</v>
      </c>
      <c r="C1359" s="84"/>
      <c r="D1359" s="83"/>
      <c r="E1359" s="126" t="s">
        <v>36</v>
      </c>
      <c r="F1359" s="80">
        <f>F1360+F1397+F1400+F1407+F1413+F1416+F1471+F1392+F1468</f>
        <v>1179783</v>
      </c>
      <c r="G1359" s="80">
        <f>G1360+G1397+G1400+G1407+G1413+G1416+G1471+G1392+G1468</f>
        <v>0</v>
      </c>
      <c r="H1359" s="80">
        <f>H1360+H1397+H1400+H1407+H1413+H1416+H1471+H1392+H1468</f>
        <v>786220.56</v>
      </c>
      <c r="I1359" s="80">
        <f>I1360+I1397+I1400+I1407+I1413+I1416+I1471+I1392+I1468</f>
        <v>0</v>
      </c>
      <c r="J1359" s="80">
        <f>J1360+J1397+J1400+J1407+J1413+J1416+J1471+J1392+J1468</f>
        <v>0</v>
      </c>
      <c r="K1359" s="80">
        <f>K1360+K1392+K1397+K1400+K1407+K1413+K1416+K1468+K1471</f>
        <v>4224412</v>
      </c>
      <c r="L1359" s="80">
        <f>L1360+L1397+L1400+L1407+L1413+L1416+L1471+L1392+L1468</f>
        <v>6190415.5600000005</v>
      </c>
      <c r="M1359" s="80">
        <f>M1360+M1392+M1397+M1400+M1407+M1413+M1416+M1466+M1468+M1471</f>
        <v>6354425.5600000005</v>
      </c>
      <c r="N1359" s="80">
        <f>N1360+N1392+N1397+N1400+N1407+N1413+N1416+N1466+N1468+N1471</f>
        <v>3578660.02</v>
      </c>
      <c r="O1359" s="867">
        <f>N1359/M1359</f>
        <v>0.56317600799780232</v>
      </c>
      <c r="P1359" s="760" t="s">
        <v>286</v>
      </c>
    </row>
    <row r="1360" spans="1:19" s="232" customFormat="1" ht="59.25" customHeight="1">
      <c r="A1360" s="433"/>
      <c r="B1360" s="177" t="s">
        <v>35</v>
      </c>
      <c r="C1360" s="176"/>
      <c r="D1360" s="197"/>
      <c r="E1360" s="196" t="s">
        <v>34</v>
      </c>
      <c r="F1360" s="414">
        <f t="shared" ref="F1360:K1360" si="164">F1361+F1387</f>
        <v>1179783</v>
      </c>
      <c r="G1360" s="414">
        <f t="shared" si="164"/>
        <v>0</v>
      </c>
      <c r="H1360" s="414">
        <f t="shared" si="164"/>
        <v>709611</v>
      </c>
      <c r="I1360" s="414">
        <f t="shared" si="164"/>
        <v>0</v>
      </c>
      <c r="J1360" s="414">
        <f t="shared" si="164"/>
        <v>0</v>
      </c>
      <c r="K1360" s="414">
        <f t="shared" si="164"/>
        <v>1347252</v>
      </c>
      <c r="L1360" s="95">
        <f t="shared" ref="L1360:L1361" si="165">SUM(F1360:K1360)</f>
        <v>3236646</v>
      </c>
      <c r="M1360" s="95">
        <f>M1361+M1387</f>
        <v>3236646</v>
      </c>
      <c r="N1360" s="95">
        <f>N1361+N1387</f>
        <v>2187584.67</v>
      </c>
      <c r="O1360" s="868">
        <f>N1360/M1360</f>
        <v>0.67588011478549093</v>
      </c>
      <c r="P1360" s="785" t="s">
        <v>286</v>
      </c>
    </row>
    <row r="1361" spans="1:18" s="191" customFormat="1" ht="93.6" customHeight="1">
      <c r="A1361" s="433"/>
      <c r="B1361" s="231"/>
      <c r="C1361" s="230">
        <v>1</v>
      </c>
      <c r="D1361" s="229"/>
      <c r="E1361" s="228" t="s">
        <v>201</v>
      </c>
      <c r="F1361" s="451">
        <v>1179783</v>
      </c>
      <c r="G1361" s="423"/>
      <c r="H1361" s="423"/>
      <c r="I1361" s="423"/>
      <c r="J1361" s="423"/>
      <c r="K1361" s="423"/>
      <c r="L1361" s="423">
        <f t="shared" si="165"/>
        <v>1179783</v>
      </c>
      <c r="M1361" s="423">
        <f>M1362+M1370+M1386</f>
        <v>1179783</v>
      </c>
      <c r="N1361" s="423">
        <f>N1362+N1370+N1386</f>
        <v>537678.62</v>
      </c>
      <c r="O1361" s="883">
        <f>N1361/M1361</f>
        <v>0.45574365794387611</v>
      </c>
      <c r="P1361" s="776" t="s">
        <v>286</v>
      </c>
      <c r="Q1361" s="191" t="s">
        <v>286</v>
      </c>
    </row>
    <row r="1362" spans="1:18" s="1080" customFormat="1" ht="56.1" customHeight="1">
      <c r="A1362" s="1070"/>
      <c r="B1362" s="1071"/>
      <c r="C1362" s="1072"/>
      <c r="D1362" s="1073" t="s">
        <v>674</v>
      </c>
      <c r="E1362" s="1074" t="s">
        <v>435</v>
      </c>
      <c r="F1362" s="1075">
        <f>422251+13778+31971+82100+500</f>
        <v>550600</v>
      </c>
      <c r="G1362" s="1075" t="e">
        <f>#REF!</f>
        <v>#REF!</v>
      </c>
      <c r="H1362" s="1075" t="e">
        <f>#REF!</f>
        <v>#REF!</v>
      </c>
      <c r="I1362" s="1075" t="e">
        <f>#REF!</f>
        <v>#REF!</v>
      </c>
      <c r="J1362" s="1075" t="e">
        <f>#REF!</f>
        <v>#REF!</v>
      </c>
      <c r="K1362" s="1075" t="e">
        <f>#REF!</f>
        <v>#REF!</v>
      </c>
      <c r="L1362" s="1075">
        <f>SUM(L1363:L1369)</f>
        <v>870000</v>
      </c>
      <c r="M1362" s="1075">
        <f>SUM(M1363:M1369)</f>
        <v>870000</v>
      </c>
      <c r="N1362" s="1075">
        <f>SUM(N1363:N1369)</f>
        <v>399987.28</v>
      </c>
      <c r="O1362" s="1076">
        <f t="shared" ref="O1362:O1382" si="166">N1362/M1362</f>
        <v>0.4597554942528736</v>
      </c>
      <c r="P1362" s="1077" t="s">
        <v>286</v>
      </c>
      <c r="Q1362" s="1078" t="s">
        <v>286</v>
      </c>
      <c r="R1362" s="1079"/>
    </row>
    <row r="1363" spans="1:18" s="1094" customFormat="1" ht="46.5" customHeight="1">
      <c r="A1363" s="1081"/>
      <c r="B1363" s="1082"/>
      <c r="C1363" s="1083"/>
      <c r="D1363" s="1084"/>
      <c r="E1363" s="1085" t="s">
        <v>689</v>
      </c>
      <c r="F1363" s="1086"/>
      <c r="G1363" s="1086"/>
      <c r="H1363" s="1086"/>
      <c r="I1363" s="1086"/>
      <c r="J1363" s="1087"/>
      <c r="K1363" s="1087"/>
      <c r="L1363" s="1088">
        <v>386400</v>
      </c>
      <c r="M1363" s="1088">
        <v>386400</v>
      </c>
      <c r="N1363" s="1089">
        <v>161972.85999999999</v>
      </c>
      <c r="O1363" s="1090">
        <f t="shared" si="166"/>
        <v>0.41918442028985503</v>
      </c>
      <c r="P1363" s="1091" t="s">
        <v>286</v>
      </c>
      <c r="Q1363" s="1092" t="s">
        <v>286</v>
      </c>
      <c r="R1363" s="1093"/>
    </row>
    <row r="1364" spans="1:18" s="1094" customFormat="1" ht="58.2" customHeight="1">
      <c r="A1364" s="1081"/>
      <c r="B1364" s="1082"/>
      <c r="C1364" s="1083"/>
      <c r="D1364" s="1084"/>
      <c r="E1364" s="1085" t="s">
        <v>690</v>
      </c>
      <c r="F1364" s="1086"/>
      <c r="G1364" s="1086"/>
      <c r="H1364" s="1086"/>
      <c r="I1364" s="1086"/>
      <c r="J1364" s="1087"/>
      <c r="K1364" s="1087"/>
      <c r="L1364" s="1088">
        <v>0</v>
      </c>
      <c r="M1364" s="1088">
        <v>0</v>
      </c>
      <c r="N1364" s="1089">
        <v>0</v>
      </c>
      <c r="O1364" s="1090">
        <v>0</v>
      </c>
      <c r="P1364" s="1091" t="s">
        <v>286</v>
      </c>
      <c r="Q1364" s="1092" t="s">
        <v>286</v>
      </c>
      <c r="R1364" s="1093"/>
    </row>
    <row r="1365" spans="1:18" s="1094" customFormat="1" ht="56.25" customHeight="1">
      <c r="A1365" s="1081"/>
      <c r="B1365" s="1082"/>
      <c r="C1365" s="1083"/>
      <c r="D1365" s="1084"/>
      <c r="E1365" s="1085" t="s">
        <v>691</v>
      </c>
      <c r="F1365" s="1086"/>
      <c r="G1365" s="1086"/>
      <c r="H1365" s="1086"/>
      <c r="I1365" s="1086"/>
      <c r="J1365" s="1087"/>
      <c r="K1365" s="1087"/>
      <c r="L1365" s="1088">
        <v>0</v>
      </c>
      <c r="M1365" s="1088">
        <v>0</v>
      </c>
      <c r="N1365" s="1089">
        <v>0</v>
      </c>
      <c r="O1365" s="1090">
        <v>0</v>
      </c>
      <c r="P1365" s="1091" t="s">
        <v>286</v>
      </c>
      <c r="Q1365" s="1092" t="s">
        <v>286</v>
      </c>
      <c r="R1365" s="1093"/>
    </row>
    <row r="1366" spans="1:18" s="1094" customFormat="1" ht="57.75" customHeight="1">
      <c r="A1366" s="1081"/>
      <c r="B1366" s="1082"/>
      <c r="C1366" s="1083"/>
      <c r="D1366" s="1084"/>
      <c r="E1366" s="1085" t="s">
        <v>692</v>
      </c>
      <c r="F1366" s="1086"/>
      <c r="G1366" s="1086"/>
      <c r="H1366" s="1086"/>
      <c r="I1366" s="1086"/>
      <c r="J1366" s="1087"/>
      <c r="K1366" s="1087"/>
      <c r="L1366" s="1088">
        <v>303600</v>
      </c>
      <c r="M1366" s="1088">
        <v>303600</v>
      </c>
      <c r="N1366" s="1089">
        <v>136180.42000000001</v>
      </c>
      <c r="O1366" s="1090">
        <f>N1366/M1366</f>
        <v>0.44855210803689066</v>
      </c>
      <c r="P1366" s="1091" t="s">
        <v>286</v>
      </c>
      <c r="Q1366" s="1092" t="s">
        <v>286</v>
      </c>
      <c r="R1366" s="1093"/>
    </row>
    <row r="1367" spans="1:18" s="1094" customFormat="1" ht="46.5" customHeight="1">
      <c r="A1367" s="1081"/>
      <c r="B1367" s="1082"/>
      <c r="C1367" s="1083"/>
      <c r="D1367" s="1084"/>
      <c r="E1367" s="1085" t="s">
        <v>675</v>
      </c>
      <c r="F1367" s="1086"/>
      <c r="G1367" s="1086"/>
      <c r="H1367" s="1086"/>
      <c r="I1367" s="1086"/>
      <c r="J1367" s="1087"/>
      <c r="K1367" s="1087"/>
      <c r="L1367" s="1088">
        <v>50000</v>
      </c>
      <c r="M1367" s="1088">
        <v>50000</v>
      </c>
      <c r="N1367" s="1089">
        <v>38755.03</v>
      </c>
      <c r="O1367" s="1090">
        <f t="shared" si="166"/>
        <v>0.77510060000000003</v>
      </c>
      <c r="P1367" s="1091" t="s">
        <v>286</v>
      </c>
      <c r="Q1367" s="1092" t="s">
        <v>286</v>
      </c>
      <c r="R1367" s="1093"/>
    </row>
    <row r="1368" spans="1:18" s="1094" customFormat="1" ht="46.5" customHeight="1">
      <c r="A1368" s="1081"/>
      <c r="B1368" s="1082"/>
      <c r="C1368" s="1083"/>
      <c r="D1368" s="1084"/>
      <c r="E1368" s="1085" t="s">
        <v>676</v>
      </c>
      <c r="F1368" s="1086"/>
      <c r="G1368" s="1086"/>
      <c r="H1368" s="1086"/>
      <c r="I1368" s="1086"/>
      <c r="J1368" s="1087"/>
      <c r="K1368" s="1087"/>
      <c r="L1368" s="1088">
        <v>8000</v>
      </c>
      <c r="M1368" s="1088">
        <v>8000</v>
      </c>
      <c r="N1368" s="1089">
        <v>2380</v>
      </c>
      <c r="O1368" s="1090">
        <v>0</v>
      </c>
      <c r="P1368" s="1091" t="s">
        <v>286</v>
      </c>
      <c r="Q1368" s="1092" t="s">
        <v>286</v>
      </c>
      <c r="R1368" s="1093"/>
    </row>
    <row r="1369" spans="1:18" s="1094" customFormat="1" ht="46.5" customHeight="1">
      <c r="A1369" s="1081"/>
      <c r="B1369" s="1082"/>
      <c r="C1369" s="1083"/>
      <c r="D1369" s="1084"/>
      <c r="E1369" s="1085" t="s">
        <v>677</v>
      </c>
      <c r="F1369" s="1086"/>
      <c r="G1369" s="1086"/>
      <c r="H1369" s="1086"/>
      <c r="I1369" s="1086"/>
      <c r="J1369" s="1087"/>
      <c r="K1369" s="1087"/>
      <c r="L1369" s="1088">
        <v>122000</v>
      </c>
      <c r="M1369" s="1088">
        <f>127409.25-4735.5-673.75</f>
        <v>122000</v>
      </c>
      <c r="N1369" s="1089">
        <v>60698.97</v>
      </c>
      <c r="O1369" s="1090">
        <f t="shared" si="166"/>
        <v>0.49753254098360655</v>
      </c>
      <c r="P1369" s="1091" t="s">
        <v>286</v>
      </c>
      <c r="Q1369" s="1092" t="s">
        <v>286</v>
      </c>
      <c r="R1369" s="1093"/>
    </row>
    <row r="1370" spans="1:18" s="1080" customFormat="1" ht="59.25" customHeight="1">
      <c r="A1370" s="1070"/>
      <c r="B1370" s="1071"/>
      <c r="C1370" s="1072"/>
      <c r="D1370" s="1073" t="s">
        <v>678</v>
      </c>
      <c r="E1370" s="1074" t="s">
        <v>446</v>
      </c>
      <c r="F1370" s="1075">
        <f>27300+4500+1400+1000+800+3800+4900+15600+36000+109100</f>
        <v>204400</v>
      </c>
      <c r="G1370" s="1075"/>
      <c r="H1370" s="1075"/>
      <c r="I1370" s="1075"/>
      <c r="J1370" s="1095"/>
      <c r="K1370" s="1095"/>
      <c r="L1370" s="1096">
        <f>SUM(L1371:L1385)</f>
        <v>309783</v>
      </c>
      <c r="M1370" s="1096">
        <f>SUM(M1371:M1385)</f>
        <v>309783</v>
      </c>
      <c r="N1370" s="1096">
        <f>SUM(N1371:N1385)</f>
        <v>137691.34</v>
      </c>
      <c r="O1370" s="1076">
        <f t="shared" si="166"/>
        <v>0.44447674662586389</v>
      </c>
      <c r="P1370" s="1077" t="s">
        <v>286</v>
      </c>
      <c r="Q1370" s="1078" t="s">
        <v>286</v>
      </c>
      <c r="R1370" s="1079"/>
    </row>
    <row r="1371" spans="1:18" s="1094" customFormat="1" ht="84.6" customHeight="1">
      <c r="A1371" s="1081"/>
      <c r="B1371" s="1082"/>
      <c r="C1371" s="1083"/>
      <c r="D1371" s="1084"/>
      <c r="E1371" s="1085" t="s">
        <v>679</v>
      </c>
      <c r="F1371" s="1086"/>
      <c r="G1371" s="1086"/>
      <c r="H1371" s="1086"/>
      <c r="I1371" s="1086"/>
      <c r="J1371" s="1087"/>
      <c r="K1371" s="1087"/>
      <c r="L1371" s="1088">
        <v>3000</v>
      </c>
      <c r="M1371" s="1088">
        <v>3000</v>
      </c>
      <c r="N1371" s="1089">
        <v>338.21</v>
      </c>
      <c r="O1371" s="1090">
        <f t="shared" si="166"/>
        <v>0.11273666666666667</v>
      </c>
      <c r="P1371" s="1091" t="s">
        <v>286</v>
      </c>
      <c r="Q1371" s="1092" t="s">
        <v>286</v>
      </c>
      <c r="R1371" s="1093"/>
    </row>
    <row r="1372" spans="1:18" s="1094" customFormat="1" ht="55.2" customHeight="1">
      <c r="A1372" s="1081"/>
      <c r="B1372" s="1082"/>
      <c r="C1372" s="1083"/>
      <c r="D1372" s="1084"/>
      <c r="E1372" s="1085" t="s">
        <v>680</v>
      </c>
      <c r="F1372" s="1086"/>
      <c r="G1372" s="1086"/>
      <c r="H1372" s="1086"/>
      <c r="I1372" s="1086"/>
      <c r="J1372" s="1087"/>
      <c r="K1372" s="1087"/>
      <c r="L1372" s="1088">
        <v>13000</v>
      </c>
      <c r="M1372" s="1088">
        <v>13000</v>
      </c>
      <c r="N1372" s="1089">
        <v>5776.66</v>
      </c>
      <c r="O1372" s="1090">
        <f t="shared" si="166"/>
        <v>0.44435846153846154</v>
      </c>
      <c r="P1372" s="1091" t="s">
        <v>286</v>
      </c>
      <c r="Q1372" s="1092" t="s">
        <v>286</v>
      </c>
      <c r="R1372" s="1093"/>
    </row>
    <row r="1373" spans="1:18" s="1094" customFormat="1" ht="85.5" customHeight="1">
      <c r="A1373" s="1081"/>
      <c r="B1373" s="1082"/>
      <c r="C1373" s="1083"/>
      <c r="D1373" s="1084"/>
      <c r="E1373" s="1085" t="s">
        <v>681</v>
      </c>
      <c r="F1373" s="1086"/>
      <c r="G1373" s="1086"/>
      <c r="H1373" s="1086"/>
      <c r="I1373" s="1086"/>
      <c r="J1373" s="1087"/>
      <c r="K1373" s="1087"/>
      <c r="L1373" s="1088">
        <v>3000</v>
      </c>
      <c r="M1373" s="1088">
        <v>3000</v>
      </c>
      <c r="N1373" s="1089">
        <v>187.41</v>
      </c>
      <c r="O1373" s="1090">
        <f t="shared" si="166"/>
        <v>6.2469999999999998E-2</v>
      </c>
      <c r="P1373" s="1091" t="s">
        <v>286</v>
      </c>
      <c r="Q1373" s="1092" t="s">
        <v>286</v>
      </c>
      <c r="R1373" s="1093"/>
    </row>
    <row r="1374" spans="1:18" s="1094" customFormat="1" ht="59.25" customHeight="1">
      <c r="A1374" s="1081"/>
      <c r="B1374" s="1082"/>
      <c r="C1374" s="1083"/>
      <c r="D1374" s="1084"/>
      <c r="E1374" s="1085" t="s">
        <v>682</v>
      </c>
      <c r="F1374" s="1086"/>
      <c r="G1374" s="1086"/>
      <c r="H1374" s="1086"/>
      <c r="I1374" s="1086"/>
      <c r="J1374" s="1087"/>
      <c r="K1374" s="1087"/>
      <c r="L1374" s="1088">
        <v>13000</v>
      </c>
      <c r="M1374" s="1088">
        <v>13000</v>
      </c>
      <c r="N1374" s="1089">
        <v>11964.7</v>
      </c>
      <c r="O1374" s="1090">
        <f t="shared" si="166"/>
        <v>0.92036153846153856</v>
      </c>
      <c r="P1374" s="1091" t="s">
        <v>286</v>
      </c>
      <c r="Q1374" s="1092" t="s">
        <v>286</v>
      </c>
      <c r="R1374" s="1093"/>
    </row>
    <row r="1375" spans="1:18" s="1094" customFormat="1" ht="49.5" customHeight="1">
      <c r="A1375" s="1081"/>
      <c r="B1375" s="1082"/>
      <c r="C1375" s="1083"/>
      <c r="D1375" s="1084"/>
      <c r="E1375" s="1085" t="s">
        <v>683</v>
      </c>
      <c r="F1375" s="1086"/>
      <c r="G1375" s="1086"/>
      <c r="H1375" s="1086"/>
      <c r="I1375" s="1086"/>
      <c r="J1375" s="1087"/>
      <c r="K1375" s="1087"/>
      <c r="L1375" s="1088">
        <v>8000</v>
      </c>
      <c r="M1375" s="1088">
        <v>8000</v>
      </c>
      <c r="N1375" s="1089">
        <v>6324.18</v>
      </c>
      <c r="O1375" s="1090">
        <f>N1375/M1375</f>
        <v>0.79052250000000002</v>
      </c>
      <c r="P1375" s="1091" t="s">
        <v>286</v>
      </c>
      <c r="Q1375" s="1092" t="s">
        <v>286</v>
      </c>
      <c r="R1375" s="1093"/>
    </row>
    <row r="1376" spans="1:18" s="1094" customFormat="1" ht="49.5" customHeight="1">
      <c r="A1376" s="1081"/>
      <c r="B1376" s="1082"/>
      <c r="C1376" s="1083"/>
      <c r="D1376" s="1084"/>
      <c r="E1376" s="1085" t="s">
        <v>684</v>
      </c>
      <c r="F1376" s="1086"/>
      <c r="G1376" s="1086"/>
      <c r="H1376" s="1086"/>
      <c r="I1376" s="1086"/>
      <c r="J1376" s="1087"/>
      <c r="K1376" s="1087"/>
      <c r="L1376" s="1088">
        <v>6000</v>
      </c>
      <c r="M1376" s="1088">
        <v>6000</v>
      </c>
      <c r="N1376" s="1089">
        <v>828.12</v>
      </c>
      <c r="O1376" s="1090">
        <f>N1376/M1376</f>
        <v>0.13802</v>
      </c>
      <c r="P1376" s="1091" t="s">
        <v>286</v>
      </c>
      <c r="Q1376" s="1092" t="s">
        <v>286</v>
      </c>
      <c r="R1376" s="1093"/>
    </row>
    <row r="1377" spans="1:18" s="1094" customFormat="1" ht="49.5" customHeight="1">
      <c r="A1377" s="1081"/>
      <c r="B1377" s="1082"/>
      <c r="C1377" s="1083"/>
      <c r="D1377" s="1084"/>
      <c r="E1377" s="1085" t="s">
        <v>693</v>
      </c>
      <c r="F1377" s="1086"/>
      <c r="G1377" s="1086"/>
      <c r="H1377" s="1086"/>
      <c r="I1377" s="1086"/>
      <c r="J1377" s="1087"/>
      <c r="K1377" s="1087"/>
      <c r="L1377" s="1088">
        <v>38000</v>
      </c>
      <c r="M1377" s="1088">
        <v>38000</v>
      </c>
      <c r="N1377" s="1089">
        <v>10065.94</v>
      </c>
      <c r="O1377" s="1090">
        <f>N1377/M1377</f>
        <v>0.26489315789473683</v>
      </c>
      <c r="P1377" s="1091"/>
      <c r="Q1377" s="1092"/>
      <c r="R1377" s="1093"/>
    </row>
    <row r="1378" spans="1:18" s="1094" customFormat="1" ht="49.5" customHeight="1">
      <c r="A1378" s="1081"/>
      <c r="B1378" s="1082"/>
      <c r="C1378" s="1083"/>
      <c r="D1378" s="1084"/>
      <c r="E1378" s="1085" t="s">
        <v>685</v>
      </c>
      <c r="F1378" s="1086"/>
      <c r="G1378" s="1086"/>
      <c r="H1378" s="1086"/>
      <c r="I1378" s="1086"/>
      <c r="J1378" s="1087"/>
      <c r="K1378" s="1087"/>
      <c r="L1378" s="1088">
        <v>33000</v>
      </c>
      <c r="M1378" s="1088">
        <v>33000</v>
      </c>
      <c r="N1378" s="1089">
        <v>20100.12</v>
      </c>
      <c r="O1378" s="1090">
        <f t="shared" si="166"/>
        <v>0.60909454545454544</v>
      </c>
      <c r="P1378" s="1091" t="s">
        <v>286</v>
      </c>
      <c r="Q1378" s="1092" t="s">
        <v>286</v>
      </c>
      <c r="R1378" s="1093"/>
    </row>
    <row r="1379" spans="1:18" s="1094" customFormat="1" ht="49.5" customHeight="1">
      <c r="A1379" s="1081"/>
      <c r="B1379" s="1082"/>
      <c r="C1379" s="1083"/>
      <c r="D1379" s="1084"/>
      <c r="E1379" s="1085" t="s">
        <v>542</v>
      </c>
      <c r="F1379" s="1086"/>
      <c r="G1379" s="1086"/>
      <c r="H1379" s="1086"/>
      <c r="I1379" s="1086"/>
      <c r="J1379" s="1087"/>
      <c r="K1379" s="1087"/>
      <c r="L1379" s="1088">
        <v>7000</v>
      </c>
      <c r="M1379" s="1088">
        <v>7000</v>
      </c>
      <c r="N1379" s="1089">
        <v>2104.73</v>
      </c>
      <c r="O1379" s="1090">
        <f t="shared" si="166"/>
        <v>0.30067571428571427</v>
      </c>
      <c r="P1379" s="1091" t="s">
        <v>286</v>
      </c>
      <c r="Q1379" s="1092" t="s">
        <v>286</v>
      </c>
      <c r="R1379" s="1093"/>
    </row>
    <row r="1380" spans="1:18" s="1094" customFormat="1" ht="49.5" customHeight="1">
      <c r="A1380" s="1081"/>
      <c r="B1380" s="1082"/>
      <c r="C1380" s="1083"/>
      <c r="D1380" s="1084"/>
      <c r="E1380" s="1085" t="s">
        <v>543</v>
      </c>
      <c r="F1380" s="1086"/>
      <c r="G1380" s="1086"/>
      <c r="H1380" s="1086"/>
      <c r="I1380" s="1086"/>
      <c r="J1380" s="1087"/>
      <c r="K1380" s="1087"/>
      <c r="L1380" s="1088">
        <v>10000</v>
      </c>
      <c r="M1380" s="1088">
        <v>10000</v>
      </c>
      <c r="N1380" s="1089">
        <v>4124</v>
      </c>
      <c r="O1380" s="1090">
        <f t="shared" si="166"/>
        <v>0.41239999999999999</v>
      </c>
      <c r="P1380" s="1091" t="s">
        <v>286</v>
      </c>
      <c r="Q1380" s="1092" t="s">
        <v>286</v>
      </c>
      <c r="R1380" s="1093"/>
    </row>
    <row r="1381" spans="1:18" s="1094" customFormat="1" ht="49.5" customHeight="1">
      <c r="A1381" s="1081"/>
      <c r="B1381" s="1082"/>
      <c r="C1381" s="1083"/>
      <c r="D1381" s="1084"/>
      <c r="E1381" s="1085" t="s">
        <v>544</v>
      </c>
      <c r="F1381" s="1086"/>
      <c r="G1381" s="1086"/>
      <c r="H1381" s="1086"/>
      <c r="I1381" s="1086"/>
      <c r="J1381" s="1087"/>
      <c r="K1381" s="1087"/>
      <c r="L1381" s="1088">
        <v>22000</v>
      </c>
      <c r="M1381" s="1088">
        <v>22000</v>
      </c>
      <c r="N1381" s="1089">
        <v>16184.72</v>
      </c>
      <c r="O1381" s="1090">
        <f t="shared" si="166"/>
        <v>0.73566909090909083</v>
      </c>
      <c r="P1381" s="1091" t="s">
        <v>286</v>
      </c>
      <c r="Q1381" s="1092" t="s">
        <v>286</v>
      </c>
      <c r="R1381" s="1093"/>
    </row>
    <row r="1382" spans="1:18" s="1094" customFormat="1" ht="47.25" customHeight="1">
      <c r="A1382" s="1081"/>
      <c r="B1382" s="1082"/>
      <c r="C1382" s="1083"/>
      <c r="D1382" s="1084"/>
      <c r="E1382" s="1085" t="s">
        <v>694</v>
      </c>
      <c r="F1382" s="1086"/>
      <c r="G1382" s="1086"/>
      <c r="H1382" s="1086"/>
      <c r="I1382" s="1086"/>
      <c r="J1382" s="1087"/>
      <c r="K1382" s="1087"/>
      <c r="L1382" s="1088">
        <v>32000</v>
      </c>
      <c r="M1382" s="1088">
        <v>32000</v>
      </c>
      <c r="N1382" s="1089">
        <v>12847.8</v>
      </c>
      <c r="O1382" s="1090">
        <f t="shared" si="166"/>
        <v>0.40149374999999998</v>
      </c>
      <c r="P1382" s="1091" t="s">
        <v>286</v>
      </c>
      <c r="Q1382" s="1092" t="s">
        <v>286</v>
      </c>
      <c r="R1382" s="1093"/>
    </row>
    <row r="1383" spans="1:18" s="1094" customFormat="1" ht="49.5" customHeight="1">
      <c r="A1383" s="1081"/>
      <c r="B1383" s="1082"/>
      <c r="C1383" s="1083"/>
      <c r="D1383" s="1084"/>
      <c r="E1383" s="1085" t="s">
        <v>686</v>
      </c>
      <c r="F1383" s="1086"/>
      <c r="G1383" s="1086"/>
      <c r="H1383" s="1086"/>
      <c r="I1383" s="1086"/>
      <c r="J1383" s="1087"/>
      <c r="K1383" s="1087"/>
      <c r="L1383" s="1088">
        <v>2500</v>
      </c>
      <c r="M1383" s="1088">
        <v>2500</v>
      </c>
      <c r="N1383" s="1089">
        <v>0</v>
      </c>
      <c r="O1383" s="1090">
        <f>N1383/M1383</f>
        <v>0</v>
      </c>
      <c r="P1383" s="1091" t="s">
        <v>286</v>
      </c>
      <c r="Q1383" s="1092" t="s">
        <v>286</v>
      </c>
      <c r="R1383" s="1093"/>
    </row>
    <row r="1384" spans="1:18" s="1094" customFormat="1" ht="49.5" customHeight="1">
      <c r="A1384" s="1081"/>
      <c r="B1384" s="1082"/>
      <c r="C1384" s="1083"/>
      <c r="D1384" s="1084"/>
      <c r="E1384" s="1085" t="s">
        <v>687</v>
      </c>
      <c r="F1384" s="1086"/>
      <c r="G1384" s="1086"/>
      <c r="H1384" s="1086"/>
      <c r="I1384" s="1086"/>
      <c r="J1384" s="1087"/>
      <c r="K1384" s="1087"/>
      <c r="L1384" s="1088">
        <v>10000</v>
      </c>
      <c r="M1384" s="1088">
        <v>10000</v>
      </c>
      <c r="N1384" s="1089">
        <v>2777.7</v>
      </c>
      <c r="O1384" s="1090">
        <f t="shared" ref="O1384:O1385" si="167">N1384/M1384</f>
        <v>0.27776999999999996</v>
      </c>
      <c r="P1384" s="1091" t="s">
        <v>286</v>
      </c>
      <c r="Q1384" s="1092" t="s">
        <v>286</v>
      </c>
      <c r="R1384" s="1093"/>
    </row>
    <row r="1385" spans="1:18" s="1094" customFormat="1" ht="49.5" customHeight="1">
      <c r="A1385" s="1081"/>
      <c r="B1385" s="1082"/>
      <c r="C1385" s="1083"/>
      <c r="D1385" s="1084"/>
      <c r="E1385" s="1085" t="s">
        <v>688</v>
      </c>
      <c r="F1385" s="1086"/>
      <c r="G1385" s="1086"/>
      <c r="H1385" s="1086"/>
      <c r="I1385" s="1086"/>
      <c r="J1385" s="1087"/>
      <c r="K1385" s="1087"/>
      <c r="L1385" s="1088">
        <v>109283</v>
      </c>
      <c r="M1385" s="1088">
        <v>109283</v>
      </c>
      <c r="N1385" s="1089">
        <v>44067.05</v>
      </c>
      <c r="O1385" s="1090">
        <f t="shared" si="167"/>
        <v>0.40323792355627136</v>
      </c>
      <c r="P1385" s="1091" t="s">
        <v>286</v>
      </c>
      <c r="Q1385" s="1092" t="s">
        <v>286</v>
      </c>
      <c r="R1385" s="1093"/>
    </row>
    <row r="1386" spans="1:18" s="444" customFormat="1" ht="57" customHeight="1">
      <c r="A1386" s="672"/>
      <c r="B1386" s="673"/>
      <c r="C1386" s="965"/>
      <c r="D1386" s="442"/>
      <c r="E1386" s="1026" t="s">
        <v>467</v>
      </c>
      <c r="F1386" s="955">
        <v>117300</v>
      </c>
      <c r="G1386" s="955">
        <v>111778</v>
      </c>
      <c r="H1386" s="955">
        <v>74715.13</v>
      </c>
      <c r="I1386" s="704"/>
      <c r="J1386" s="704"/>
      <c r="K1386" s="532"/>
      <c r="L1386" s="955">
        <v>0</v>
      </c>
      <c r="M1386" s="955">
        <v>0</v>
      </c>
      <c r="N1386" s="955">
        <v>0</v>
      </c>
      <c r="O1386" s="932">
        <v>0</v>
      </c>
      <c r="P1386" s="960" t="s">
        <v>286</v>
      </c>
      <c r="Q1386" s="822" t="s">
        <v>286</v>
      </c>
      <c r="R1386" s="961"/>
    </row>
    <row r="1387" spans="1:18" s="570" customFormat="1" ht="76.2" customHeight="1">
      <c r="A1387" s="705"/>
      <c r="B1387" s="710"/>
      <c r="C1387" s="756">
        <v>2</v>
      </c>
      <c r="D1387" s="758"/>
      <c r="E1387" s="569" t="s">
        <v>207</v>
      </c>
      <c r="F1387" s="564"/>
      <c r="G1387" s="563"/>
      <c r="H1387" s="563">
        <f>H1389+H1390</f>
        <v>709611</v>
      </c>
      <c r="I1387" s="563"/>
      <c r="J1387" s="563"/>
      <c r="K1387" s="563">
        <f>K1389+K1390</f>
        <v>1347252</v>
      </c>
      <c r="L1387" s="563">
        <f>SUM(F1387:K1387)</f>
        <v>2056863</v>
      </c>
      <c r="M1387" s="563">
        <v>2056863</v>
      </c>
      <c r="N1387" s="563">
        <f>SUM(N1389:N1390)</f>
        <v>1649906.05</v>
      </c>
      <c r="O1387" s="872">
        <f>N1387/M1387</f>
        <v>0.80214678858047428</v>
      </c>
      <c r="P1387" s="777" t="s">
        <v>286</v>
      </c>
    </row>
    <row r="1388" spans="1:18" s="570" customFormat="1">
      <c r="A1388" s="705"/>
      <c r="B1388" s="710"/>
      <c r="C1388" s="753"/>
      <c r="D1388" s="754"/>
      <c r="E1388" s="226" t="s">
        <v>16</v>
      </c>
      <c r="F1388" s="706"/>
      <c r="G1388" s="706"/>
      <c r="H1388" s="706"/>
      <c r="I1388" s="706"/>
      <c r="J1388" s="706"/>
      <c r="K1388" s="706"/>
      <c r="L1388" s="666"/>
      <c r="M1388" s="666"/>
      <c r="N1388" s="666"/>
      <c r="O1388" s="874"/>
      <c r="P1388" s="777"/>
    </row>
    <row r="1389" spans="1:18" s="570" customFormat="1" ht="46.2" customHeight="1">
      <c r="A1389" s="705"/>
      <c r="B1389" s="710"/>
      <c r="C1389" s="753"/>
      <c r="D1389" s="754"/>
      <c r="E1389" s="755" t="s">
        <v>345</v>
      </c>
      <c r="F1389" s="706"/>
      <c r="G1389" s="706"/>
      <c r="H1389" s="863">
        <v>3983</v>
      </c>
      <c r="I1389" s="864"/>
      <c r="J1389" s="864"/>
      <c r="K1389" s="863">
        <f>1200+5860</f>
        <v>7060</v>
      </c>
      <c r="L1389" s="666">
        <f>SUM(H1389:K1389)</f>
        <v>11043</v>
      </c>
      <c r="M1389" s="666">
        <f>1200+6767+3983-2738+5860-4309</f>
        <v>10763</v>
      </c>
      <c r="N1389" s="666">
        <v>3075</v>
      </c>
      <c r="O1389" s="874">
        <f>N1389/M1389</f>
        <v>0.28570101272879311</v>
      </c>
      <c r="P1389" s="777" t="s">
        <v>286</v>
      </c>
    </row>
    <row r="1390" spans="1:18" s="570" customFormat="1" ht="48" customHeight="1">
      <c r="A1390" s="705"/>
      <c r="B1390" s="710"/>
      <c r="C1390" s="802"/>
      <c r="D1390" s="759"/>
      <c r="E1390" s="755" t="s">
        <v>346</v>
      </c>
      <c r="F1390" s="706"/>
      <c r="G1390" s="706"/>
      <c r="H1390" s="863">
        <f>705628</f>
        <v>705628</v>
      </c>
      <c r="I1390" s="864"/>
      <c r="J1390" s="864"/>
      <c r="K1390" s="863">
        <f>302197+1037995</f>
        <v>1340192</v>
      </c>
      <c r="L1390" s="666">
        <f t="shared" ref="L1390:L1393" si="168">SUM(F1390:K1390)</f>
        <v>2045820</v>
      </c>
      <c r="M1390" s="666">
        <f>302197+705628+1037995</f>
        <v>2045820</v>
      </c>
      <c r="N1390" s="666">
        <v>1646831.05</v>
      </c>
      <c r="O1390" s="874">
        <f>N1390/M1390</f>
        <v>0.80497358027587962</v>
      </c>
      <c r="P1390" s="777" t="s">
        <v>286</v>
      </c>
    </row>
    <row r="1391" spans="1:18" s="233" customFormat="1" ht="129" customHeight="1">
      <c r="A1391" s="401"/>
      <c r="B1391" s="402"/>
      <c r="C1391" s="595"/>
      <c r="D1391" s="237"/>
      <c r="E1391" s="1311" t="s">
        <v>663</v>
      </c>
      <c r="F1391" s="1311"/>
      <c r="G1391" s="1311"/>
      <c r="H1391" s="1311"/>
      <c r="I1391" s="1311"/>
      <c r="J1391" s="1311"/>
      <c r="K1391" s="1311"/>
      <c r="L1391" s="1311"/>
      <c r="M1391" s="1311"/>
      <c r="N1391" s="1311"/>
      <c r="O1391" s="1312"/>
      <c r="P1391" s="762"/>
    </row>
    <row r="1392" spans="1:18" s="232" customFormat="1" ht="59.25" customHeight="1">
      <c r="A1392" s="433"/>
      <c r="B1392" s="78">
        <v>85205</v>
      </c>
      <c r="C1392" s="77"/>
      <c r="D1392" s="181"/>
      <c r="E1392" s="391" t="s">
        <v>213</v>
      </c>
      <c r="F1392" s="414">
        <f t="shared" ref="F1392:K1392" si="169">F1393</f>
        <v>0</v>
      </c>
      <c r="G1392" s="414">
        <f t="shared" si="169"/>
        <v>0</v>
      </c>
      <c r="H1392" s="414">
        <f t="shared" si="169"/>
        <v>0</v>
      </c>
      <c r="I1392" s="414">
        <f t="shared" si="169"/>
        <v>0</v>
      </c>
      <c r="J1392" s="414">
        <f t="shared" si="169"/>
        <v>0</v>
      </c>
      <c r="K1392" s="414">
        <f t="shared" si="169"/>
        <v>2500</v>
      </c>
      <c r="L1392" s="95">
        <f t="shared" si="168"/>
        <v>2500</v>
      </c>
      <c r="M1392" s="95">
        <f>M1393</f>
        <v>2500</v>
      </c>
      <c r="N1392" s="95">
        <f>N1393</f>
        <v>600</v>
      </c>
      <c r="O1392" s="868">
        <f>N1392/M1392</f>
        <v>0.24</v>
      </c>
      <c r="P1392" s="785" t="s">
        <v>286</v>
      </c>
    </row>
    <row r="1393" spans="1:16" s="570" customFormat="1" ht="82.5" customHeight="1">
      <c r="A1393" s="433"/>
      <c r="B1393" s="470"/>
      <c r="C1393" s="453">
        <v>1</v>
      </c>
      <c r="D1393" s="449"/>
      <c r="E1393" s="569" t="s">
        <v>354</v>
      </c>
      <c r="F1393" s="451"/>
      <c r="G1393" s="423"/>
      <c r="H1393" s="423"/>
      <c r="I1393" s="423"/>
      <c r="J1393" s="423"/>
      <c r="K1393" s="423">
        <v>2500</v>
      </c>
      <c r="L1393" s="423">
        <f t="shared" si="168"/>
        <v>2500</v>
      </c>
      <c r="M1393" s="423">
        <v>2500</v>
      </c>
      <c r="N1393" s="423">
        <f>SUM(N1395:N1396)</f>
        <v>600</v>
      </c>
      <c r="O1393" s="883">
        <f>N1393/M1393</f>
        <v>0.24</v>
      </c>
      <c r="P1393" s="777" t="s">
        <v>286</v>
      </c>
    </row>
    <row r="1394" spans="1:16" s="1106" customFormat="1">
      <c r="A1394" s="691"/>
      <c r="B1394" s="1105"/>
      <c r="C1394" s="799"/>
      <c r="D1394" s="800"/>
      <c r="E1394" s="1067" t="s">
        <v>16</v>
      </c>
      <c r="F1394" s="731"/>
      <c r="G1394" s="731"/>
      <c r="H1394" s="731"/>
      <c r="I1394" s="731"/>
      <c r="J1394" s="731"/>
      <c r="K1394" s="731"/>
      <c r="L1394" s="656"/>
      <c r="M1394" s="656"/>
      <c r="N1394" s="656"/>
      <c r="O1394" s="873"/>
      <c r="P1394" s="782"/>
    </row>
    <row r="1395" spans="1:16" s="1106" customFormat="1" ht="46.2" customHeight="1">
      <c r="A1395" s="691"/>
      <c r="B1395" s="1105"/>
      <c r="C1395" s="799"/>
      <c r="D1395" s="800"/>
      <c r="E1395" s="1069" t="s">
        <v>702</v>
      </c>
      <c r="F1395" s="731"/>
      <c r="G1395" s="731"/>
      <c r="H1395" s="731"/>
      <c r="I1395" s="731"/>
      <c r="J1395" s="731"/>
      <c r="K1395" s="731"/>
      <c r="L1395" s="656"/>
      <c r="M1395" s="656"/>
      <c r="N1395" s="656">
        <v>0</v>
      </c>
      <c r="O1395" s="873"/>
      <c r="P1395" s="782"/>
    </row>
    <row r="1396" spans="1:16" s="1106" customFormat="1" ht="43.2" customHeight="1">
      <c r="A1396" s="691"/>
      <c r="B1396" s="1105"/>
      <c r="C1396" s="363"/>
      <c r="D1396" s="628"/>
      <c r="E1396" s="1069" t="s">
        <v>703</v>
      </c>
      <c r="F1396" s="731"/>
      <c r="G1396" s="731"/>
      <c r="H1396" s="731"/>
      <c r="I1396" s="731"/>
      <c r="J1396" s="731"/>
      <c r="K1396" s="731"/>
      <c r="L1396" s="656"/>
      <c r="M1396" s="656"/>
      <c r="N1396" s="656">
        <v>600</v>
      </c>
      <c r="O1396" s="873"/>
      <c r="P1396" s="782"/>
    </row>
    <row r="1397" spans="1:16" s="170" customFormat="1" ht="121.5" customHeight="1">
      <c r="A1397" s="492"/>
      <c r="B1397" s="78">
        <v>85213</v>
      </c>
      <c r="C1397" s="77"/>
      <c r="D1397" s="181"/>
      <c r="E1397" s="180" t="s">
        <v>267</v>
      </c>
      <c r="F1397" s="414">
        <f t="shared" ref="F1397:J1397" si="170">SUM(F1398:F1398)</f>
        <v>0</v>
      </c>
      <c r="G1397" s="414">
        <f t="shared" si="170"/>
        <v>0</v>
      </c>
      <c r="H1397" s="414">
        <f t="shared" si="170"/>
        <v>0</v>
      </c>
      <c r="I1397" s="414">
        <f t="shared" si="170"/>
        <v>0</v>
      </c>
      <c r="J1397" s="414">
        <f t="shared" si="170"/>
        <v>0</v>
      </c>
      <c r="K1397" s="414">
        <f>K1398+K1399</f>
        <v>19500</v>
      </c>
      <c r="L1397" s="95">
        <f t="shared" ref="L1397:L1402" si="171">SUM(F1397:K1397)</f>
        <v>19500</v>
      </c>
      <c r="M1397" s="95">
        <f>SUM(M1398:M1399)</f>
        <v>19500</v>
      </c>
      <c r="N1397" s="95">
        <f>SUM(N1398:N1399)</f>
        <v>9364.49</v>
      </c>
      <c r="O1397" s="868">
        <f>N1397/M1397</f>
        <v>0.48023025641025641</v>
      </c>
      <c r="P1397" s="776" t="s">
        <v>286</v>
      </c>
    </row>
    <row r="1398" spans="1:16" s="170" customFormat="1" ht="95.25" customHeight="1">
      <c r="A1398" s="433"/>
      <c r="B1398" s="218"/>
      <c r="C1398" s="571">
        <v>1</v>
      </c>
      <c r="D1398" s="572"/>
      <c r="E1398" s="569" t="s">
        <v>230</v>
      </c>
      <c r="F1398" s="564"/>
      <c r="G1398" s="563"/>
      <c r="H1398" s="563"/>
      <c r="I1398" s="563"/>
      <c r="J1398" s="563"/>
      <c r="K1398" s="563">
        <v>18500</v>
      </c>
      <c r="L1398" s="563">
        <f t="shared" si="171"/>
        <v>18500</v>
      </c>
      <c r="M1398" s="563">
        <v>18500</v>
      </c>
      <c r="N1398" s="563">
        <v>9364.49</v>
      </c>
      <c r="O1398" s="872">
        <f>N1398/M1398</f>
        <v>0.50618864864864865</v>
      </c>
      <c r="P1398" s="776" t="s">
        <v>286</v>
      </c>
    </row>
    <row r="1399" spans="1:16" s="435" customFormat="1" ht="69" customHeight="1">
      <c r="A1399" s="705"/>
      <c r="B1399" s="710"/>
      <c r="C1399" s="208">
        <v>2</v>
      </c>
      <c r="D1399" s="207"/>
      <c r="E1399" s="206" t="s">
        <v>335</v>
      </c>
      <c r="F1399" s="205"/>
      <c r="G1399" s="205"/>
      <c r="H1399" s="205"/>
      <c r="I1399" s="205"/>
      <c r="J1399" s="205"/>
      <c r="K1399" s="205">
        <v>1000</v>
      </c>
      <c r="L1399" s="104">
        <f t="shared" si="171"/>
        <v>1000</v>
      </c>
      <c r="M1399" s="104">
        <v>1000</v>
      </c>
      <c r="N1399" s="104">
        <v>0</v>
      </c>
      <c r="O1399" s="913">
        <v>0</v>
      </c>
      <c r="P1399" s="776" t="s">
        <v>286</v>
      </c>
    </row>
    <row r="1400" spans="1:16" s="170" customFormat="1" ht="72.75" customHeight="1">
      <c r="A1400" s="492"/>
      <c r="B1400" s="78" t="s">
        <v>33</v>
      </c>
      <c r="C1400" s="77"/>
      <c r="D1400" s="181"/>
      <c r="E1400" s="180" t="s">
        <v>266</v>
      </c>
      <c r="F1400" s="414">
        <f t="shared" ref="F1400:L1400" si="172">F1401+F1402+F1406</f>
        <v>0</v>
      </c>
      <c r="G1400" s="414">
        <f t="shared" si="172"/>
        <v>0</v>
      </c>
      <c r="H1400" s="414">
        <f t="shared" si="172"/>
        <v>0</v>
      </c>
      <c r="I1400" s="414">
        <f t="shared" si="172"/>
        <v>0</v>
      </c>
      <c r="J1400" s="414">
        <f t="shared" si="172"/>
        <v>0</v>
      </c>
      <c r="K1400" s="414">
        <f t="shared" si="172"/>
        <v>394000</v>
      </c>
      <c r="L1400" s="95">
        <f t="shared" si="172"/>
        <v>394000</v>
      </c>
      <c r="M1400" s="95">
        <f>M1401+M1402+M1406</f>
        <v>390000</v>
      </c>
      <c r="N1400" s="95">
        <f>N1401+N1402+N1406</f>
        <v>129936.25</v>
      </c>
      <c r="O1400" s="868">
        <f>N1400/M1400</f>
        <v>0.33316987179487179</v>
      </c>
      <c r="P1400" s="776" t="s">
        <v>286</v>
      </c>
    </row>
    <row r="1401" spans="1:16" s="170" customFormat="1" ht="111" customHeight="1">
      <c r="A1401" s="433"/>
      <c r="B1401" s="218"/>
      <c r="C1401" s="224">
        <v>1</v>
      </c>
      <c r="D1401" s="223"/>
      <c r="E1401" s="227" t="s">
        <v>255</v>
      </c>
      <c r="F1401" s="221"/>
      <c r="G1401" s="87"/>
      <c r="H1401" s="87"/>
      <c r="I1401" s="87"/>
      <c r="J1401" s="87"/>
      <c r="K1401" s="465">
        <v>64000</v>
      </c>
      <c r="L1401" s="465">
        <f t="shared" si="171"/>
        <v>64000</v>
      </c>
      <c r="M1401" s="465">
        <v>64000</v>
      </c>
      <c r="N1401" s="465">
        <v>26485.71</v>
      </c>
      <c r="O1401" s="928">
        <f>N1401/M1401</f>
        <v>0.41383921874999996</v>
      </c>
      <c r="P1401" s="776" t="s">
        <v>286</v>
      </c>
    </row>
    <row r="1402" spans="1:16" s="51" customFormat="1" ht="71.25" customHeight="1">
      <c r="A1402" s="433"/>
      <c r="B1402" s="218"/>
      <c r="C1402" s="30">
        <v>2</v>
      </c>
      <c r="D1402" s="217"/>
      <c r="E1402" s="220" t="s">
        <v>347</v>
      </c>
      <c r="F1402" s="219"/>
      <c r="G1402" s="92"/>
      <c r="H1402" s="92"/>
      <c r="I1402" s="92"/>
      <c r="J1402" s="92"/>
      <c r="K1402" s="273">
        <f>SUM(K1404:K1405)</f>
        <v>170000</v>
      </c>
      <c r="L1402" s="273">
        <f t="shared" si="171"/>
        <v>170000</v>
      </c>
      <c r="M1402" s="273">
        <f>M1404+M1405</f>
        <v>166000</v>
      </c>
      <c r="N1402" s="273">
        <f>N1404+N1405</f>
        <v>30050</v>
      </c>
      <c r="O1402" s="929">
        <f>N1402/M1402</f>
        <v>0.18102409638554218</v>
      </c>
      <c r="P1402" s="776" t="s">
        <v>286</v>
      </c>
    </row>
    <row r="1403" spans="1:16" s="198" customFormat="1" ht="31.5" customHeight="1">
      <c r="A1403" s="433"/>
      <c r="B1403" s="218"/>
      <c r="C1403" s="30"/>
      <c r="D1403" s="217"/>
      <c r="E1403" s="226" t="s">
        <v>16</v>
      </c>
      <c r="F1403" s="219"/>
      <c r="G1403" s="92"/>
      <c r="H1403" s="92"/>
      <c r="I1403" s="92"/>
      <c r="J1403" s="92"/>
      <c r="K1403" s="92"/>
      <c r="L1403" s="92"/>
      <c r="M1403" s="92"/>
      <c r="N1403" s="92"/>
      <c r="O1403" s="869"/>
      <c r="P1403" s="777"/>
    </row>
    <row r="1404" spans="1:16" s="51" customFormat="1" ht="40.5" customHeight="1">
      <c r="A1404" s="433"/>
      <c r="B1404" s="218"/>
      <c r="C1404" s="30"/>
      <c r="D1404" s="217"/>
      <c r="E1404" s="467" t="s">
        <v>705</v>
      </c>
      <c r="F1404" s="219"/>
      <c r="G1404" s="92"/>
      <c r="H1404" s="92"/>
      <c r="I1404" s="92"/>
      <c r="J1404" s="92"/>
      <c r="K1404" s="107">
        <v>160000</v>
      </c>
      <c r="L1404" s="107">
        <f t="shared" ref="L1404:L1414" si="173">SUM(F1404:K1404)</f>
        <v>160000</v>
      </c>
      <c r="M1404" s="107">
        <v>160000</v>
      </c>
      <c r="N1404" s="107">
        <v>30050</v>
      </c>
      <c r="O1404" s="884">
        <f>N1404/M1404</f>
        <v>0.18781249999999999</v>
      </c>
      <c r="P1404" s="776" t="s">
        <v>286</v>
      </c>
    </row>
    <row r="1405" spans="1:16" s="434" customFormat="1" ht="40.5" customHeight="1">
      <c r="A1405" s="433"/>
      <c r="B1405" s="218"/>
      <c r="C1405" s="452"/>
      <c r="D1405" s="448"/>
      <c r="E1405" s="467" t="s">
        <v>704</v>
      </c>
      <c r="F1405" s="219"/>
      <c r="G1405" s="92"/>
      <c r="H1405" s="92"/>
      <c r="I1405" s="92"/>
      <c r="J1405" s="92"/>
      <c r="K1405" s="107">
        <v>10000</v>
      </c>
      <c r="L1405" s="107">
        <f t="shared" si="173"/>
        <v>10000</v>
      </c>
      <c r="M1405" s="107">
        <v>6000</v>
      </c>
      <c r="N1405" s="107">
        <v>0</v>
      </c>
      <c r="O1405" s="884">
        <v>0</v>
      </c>
      <c r="P1405" s="776" t="s">
        <v>286</v>
      </c>
    </row>
    <row r="1406" spans="1:16" s="434" customFormat="1" ht="93.75" customHeight="1">
      <c r="A1406" s="433"/>
      <c r="B1406" s="218"/>
      <c r="C1406" s="208">
        <v>3</v>
      </c>
      <c r="D1406" s="207"/>
      <c r="E1406" s="206" t="s">
        <v>169</v>
      </c>
      <c r="F1406" s="205"/>
      <c r="G1406" s="104"/>
      <c r="H1406" s="104"/>
      <c r="I1406" s="104"/>
      <c r="J1406" s="104"/>
      <c r="K1406" s="480">
        <v>160000</v>
      </c>
      <c r="L1406" s="480">
        <f t="shared" si="173"/>
        <v>160000</v>
      </c>
      <c r="M1406" s="480">
        <v>160000</v>
      </c>
      <c r="N1406" s="480">
        <v>73400.539999999994</v>
      </c>
      <c r="O1406" s="930">
        <f>N1406/M1406</f>
        <v>0.45875337499999996</v>
      </c>
      <c r="P1406" s="776" t="s">
        <v>286</v>
      </c>
    </row>
    <row r="1407" spans="1:16" s="67" customFormat="1" ht="55.5" customHeight="1">
      <c r="A1407" s="641"/>
      <c r="B1407" s="78">
        <v>85215</v>
      </c>
      <c r="C1407" s="77"/>
      <c r="D1407" s="76"/>
      <c r="E1407" s="75" t="s">
        <v>32</v>
      </c>
      <c r="F1407" s="414">
        <f t="shared" ref="F1407:K1407" si="174">F1408</f>
        <v>0</v>
      </c>
      <c r="G1407" s="95">
        <f t="shared" si="174"/>
        <v>0</v>
      </c>
      <c r="H1407" s="95">
        <f t="shared" si="174"/>
        <v>0</v>
      </c>
      <c r="I1407" s="95">
        <f t="shared" si="174"/>
        <v>0</v>
      </c>
      <c r="J1407" s="95">
        <f t="shared" si="174"/>
        <v>0</v>
      </c>
      <c r="K1407" s="95">
        <f t="shared" si="174"/>
        <v>240000</v>
      </c>
      <c r="L1407" s="95">
        <f t="shared" si="173"/>
        <v>240000</v>
      </c>
      <c r="M1407" s="95">
        <f>M1408+M1411</f>
        <v>244397</v>
      </c>
      <c r="N1407" s="95">
        <f>N1408+N1411</f>
        <v>119097.11</v>
      </c>
      <c r="O1407" s="868">
        <f>N1407/M1407</f>
        <v>0.48731003244720678</v>
      </c>
      <c r="P1407" s="760" t="s">
        <v>286</v>
      </c>
    </row>
    <row r="1408" spans="1:16" s="839" customFormat="1" ht="61.5" customHeight="1">
      <c r="A1408" s="838"/>
      <c r="B1408" s="677"/>
      <c r="C1408" s="63">
        <v>1</v>
      </c>
      <c r="D1408" s="429"/>
      <c r="E1408" s="225" t="s">
        <v>348</v>
      </c>
      <c r="F1408" s="192"/>
      <c r="G1408" s="436"/>
      <c r="H1408" s="436"/>
      <c r="I1408" s="436"/>
      <c r="J1408" s="436"/>
      <c r="K1408" s="98">
        <v>240000</v>
      </c>
      <c r="L1408" s="98">
        <f t="shared" si="173"/>
        <v>240000</v>
      </c>
      <c r="M1408" s="98">
        <v>240000</v>
      </c>
      <c r="N1408" s="98">
        <v>116222.02</v>
      </c>
      <c r="O1408" s="880">
        <f>N1408/M1408</f>
        <v>0.48425841666666669</v>
      </c>
      <c r="P1408" s="770" t="s">
        <v>286</v>
      </c>
    </row>
    <row r="1409" spans="1:18" s="839" customFormat="1" ht="81.75" customHeight="1">
      <c r="A1409" s="838"/>
      <c r="B1409" s="677"/>
      <c r="C1409" s="63"/>
      <c r="D1409" s="429"/>
      <c r="E1409" s="1308" t="s">
        <v>706</v>
      </c>
      <c r="F1409" s="1308"/>
      <c r="G1409" s="1308"/>
      <c r="H1409" s="1308"/>
      <c r="I1409" s="1308"/>
      <c r="J1409" s="1308"/>
      <c r="K1409" s="1308"/>
      <c r="L1409" s="1308"/>
      <c r="M1409" s="1308"/>
      <c r="N1409" s="1308"/>
      <c r="O1409" s="1309"/>
      <c r="P1409" s="770"/>
      <c r="Q1409" s="770"/>
      <c r="R1409" s="770"/>
    </row>
    <row r="1410" spans="1:18" s="839" customFormat="1" ht="57" customHeight="1">
      <c r="A1410" s="838"/>
      <c r="B1410" s="677"/>
      <c r="C1410" s="659"/>
      <c r="D1410" s="429"/>
      <c r="E1410" s="1308" t="s">
        <v>707</v>
      </c>
      <c r="F1410" s="1308"/>
      <c r="G1410" s="1308"/>
      <c r="H1410" s="1308"/>
      <c r="I1410" s="1308"/>
      <c r="J1410" s="1308"/>
      <c r="K1410" s="1308"/>
      <c r="L1410" s="1308"/>
      <c r="M1410" s="1308"/>
      <c r="N1410" s="1308"/>
      <c r="O1410" s="1309"/>
      <c r="P1410" s="770"/>
      <c r="Q1410" s="770"/>
      <c r="R1410" s="1107"/>
    </row>
    <row r="1411" spans="1:18" s="121" customFormat="1" ht="134.25" customHeight="1">
      <c r="A1411" s="838"/>
      <c r="B1411" s="677"/>
      <c r="C1411" s="559">
        <v>2</v>
      </c>
      <c r="D1411" s="560"/>
      <c r="E1411" s="664" t="s">
        <v>708</v>
      </c>
      <c r="F1411" s="1108"/>
      <c r="G1411" s="600"/>
      <c r="H1411" s="600"/>
      <c r="I1411" s="600"/>
      <c r="J1411" s="600"/>
      <c r="K1411" s="998">
        <v>480000</v>
      </c>
      <c r="L1411" s="998">
        <v>0</v>
      </c>
      <c r="M1411" s="998">
        <v>4397</v>
      </c>
      <c r="N1411" s="998">
        <v>2875.09</v>
      </c>
      <c r="O1411" s="1109">
        <f>N1411/M1411</f>
        <v>0.65387536957016146</v>
      </c>
      <c r="P1411" s="769" t="s">
        <v>286</v>
      </c>
      <c r="Q1411" s="769" t="s">
        <v>286</v>
      </c>
      <c r="R1411" s="769"/>
    </row>
    <row r="1412" spans="1:18" s="839" customFormat="1" ht="109.95" customHeight="1">
      <c r="A1412" s="838"/>
      <c r="B1412" s="677"/>
      <c r="C1412" s="63"/>
      <c r="D1412" s="429"/>
      <c r="E1412" s="1308" t="s">
        <v>709</v>
      </c>
      <c r="F1412" s="1308"/>
      <c r="G1412" s="1308"/>
      <c r="H1412" s="1308"/>
      <c r="I1412" s="1308"/>
      <c r="J1412" s="1308"/>
      <c r="K1412" s="1308"/>
      <c r="L1412" s="1308"/>
      <c r="M1412" s="1308"/>
      <c r="N1412" s="1308"/>
      <c r="O1412" s="1309"/>
      <c r="P1412" s="770"/>
      <c r="Q1412" s="770"/>
      <c r="R1412" s="770"/>
    </row>
    <row r="1413" spans="1:18" s="170" customFormat="1" ht="55.5" customHeight="1">
      <c r="A1413" s="492"/>
      <c r="B1413" s="78">
        <v>85216</v>
      </c>
      <c r="C1413" s="77"/>
      <c r="D1413" s="181"/>
      <c r="E1413" s="180" t="s">
        <v>31</v>
      </c>
      <c r="F1413" s="414">
        <f>SUM(F1414:F1414)</f>
        <v>0</v>
      </c>
      <c r="G1413" s="414">
        <f>SUM(G1414:G1414)</f>
        <v>0</v>
      </c>
      <c r="H1413" s="414">
        <f>SUM(H1414:H1414)</f>
        <v>0</v>
      </c>
      <c r="I1413" s="95">
        <f>SUM(I1414:I1414)</f>
        <v>0</v>
      </c>
      <c r="J1413" s="414">
        <f>SUM(J1414:J1414)</f>
        <v>0</v>
      </c>
      <c r="K1413" s="414">
        <f>K1414+K1415</f>
        <v>182000</v>
      </c>
      <c r="L1413" s="95">
        <f t="shared" si="173"/>
        <v>182000</v>
      </c>
      <c r="M1413" s="95">
        <f>M1414+M1415</f>
        <v>211779</v>
      </c>
      <c r="N1413" s="95">
        <f>N1414+N1415</f>
        <v>108336.38</v>
      </c>
      <c r="O1413" s="868">
        <f>N1413/M1413</f>
        <v>0.51155393122075377</v>
      </c>
      <c r="P1413" s="776" t="s">
        <v>286</v>
      </c>
    </row>
    <row r="1414" spans="1:18" s="170" customFormat="1" ht="101.25" customHeight="1">
      <c r="A1414" s="433"/>
      <c r="B1414" s="218"/>
      <c r="C1414" s="224">
        <v>1</v>
      </c>
      <c r="D1414" s="223"/>
      <c r="E1414" s="222" t="s">
        <v>229</v>
      </c>
      <c r="F1414" s="221"/>
      <c r="G1414" s="87"/>
      <c r="H1414" s="87"/>
      <c r="I1414" s="87"/>
      <c r="J1414" s="87"/>
      <c r="K1414" s="87">
        <v>172000</v>
      </c>
      <c r="L1414" s="87">
        <f t="shared" si="173"/>
        <v>172000</v>
      </c>
      <c r="M1414" s="87">
        <v>201779</v>
      </c>
      <c r="N1414" s="87">
        <v>108336.38</v>
      </c>
      <c r="O1414" s="879">
        <f>N1414/M1414</f>
        <v>0.53690612006204808</v>
      </c>
      <c r="P1414" s="776" t="s">
        <v>286</v>
      </c>
    </row>
    <row r="1415" spans="1:18" s="435" customFormat="1" ht="68.400000000000006" customHeight="1">
      <c r="A1415" s="705"/>
      <c r="B1415" s="710"/>
      <c r="C1415" s="452">
        <v>2</v>
      </c>
      <c r="D1415" s="448"/>
      <c r="E1415" s="206" t="s">
        <v>335</v>
      </c>
      <c r="F1415" s="706"/>
      <c r="G1415" s="666"/>
      <c r="H1415" s="666"/>
      <c r="I1415" s="666"/>
      <c r="J1415" s="666"/>
      <c r="K1415" s="666">
        <v>10000</v>
      </c>
      <c r="L1415" s="666">
        <f>SUM(F1415:K1415)</f>
        <v>10000</v>
      </c>
      <c r="M1415" s="666">
        <v>10000</v>
      </c>
      <c r="N1415" s="666">
        <v>0</v>
      </c>
      <c r="O1415" s="874">
        <v>0</v>
      </c>
      <c r="P1415" s="776" t="s">
        <v>286</v>
      </c>
    </row>
    <row r="1416" spans="1:18" s="170" customFormat="1" ht="58.5" customHeight="1">
      <c r="A1416" s="492"/>
      <c r="B1416" s="78" t="s">
        <v>30</v>
      </c>
      <c r="C1416" s="77"/>
      <c r="D1416" s="181"/>
      <c r="E1416" s="180" t="s">
        <v>29</v>
      </c>
      <c r="F1416" s="95">
        <f t="shared" ref="F1416:K1416" si="175">F1417+F1431+F1450</f>
        <v>0</v>
      </c>
      <c r="G1416" s="95">
        <f t="shared" si="175"/>
        <v>0</v>
      </c>
      <c r="H1416" s="95">
        <f t="shared" si="175"/>
        <v>76609.56</v>
      </c>
      <c r="I1416" s="95">
        <f t="shared" si="175"/>
        <v>0</v>
      </c>
      <c r="J1416" s="95">
        <f t="shared" si="175"/>
        <v>0</v>
      </c>
      <c r="K1416" s="95">
        <f t="shared" si="175"/>
        <v>1801160</v>
      </c>
      <c r="L1416" s="95">
        <f>L1417+L1431+L1450+L1454+L1458+L1462</f>
        <v>1877769.56</v>
      </c>
      <c r="M1416" s="95">
        <f t="shared" ref="M1416:N1416" si="176">M1417+M1431+M1450+M1454+M1458+M1462</f>
        <v>1970603.56</v>
      </c>
      <c r="N1416" s="95">
        <f t="shared" si="176"/>
        <v>953026.62</v>
      </c>
      <c r="O1416" s="868">
        <f>N1416/M1416</f>
        <v>0.48362168796650301</v>
      </c>
      <c r="P1416" s="776" t="s">
        <v>286</v>
      </c>
      <c r="Q1416" s="170" t="s">
        <v>286</v>
      </c>
    </row>
    <row r="1417" spans="1:18" s="198" customFormat="1" ht="114" customHeight="1">
      <c r="A1417" s="433"/>
      <c r="B1417" s="470"/>
      <c r="C1417" s="453">
        <v>1</v>
      </c>
      <c r="D1417" s="449"/>
      <c r="E1417" s="450" t="s">
        <v>228</v>
      </c>
      <c r="F1417" s="451"/>
      <c r="G1417" s="423"/>
      <c r="H1417" s="423"/>
      <c r="I1417" s="423"/>
      <c r="J1417" s="423"/>
      <c r="K1417" s="392">
        <v>316300</v>
      </c>
      <c r="L1417" s="392">
        <f>L1418+L1422</f>
        <v>316300</v>
      </c>
      <c r="M1417" s="392">
        <f t="shared" ref="M1417:N1417" si="177">M1418+M1422</f>
        <v>316300</v>
      </c>
      <c r="N1417" s="392">
        <f t="shared" si="177"/>
        <v>157980.1</v>
      </c>
      <c r="O1417" s="890">
        <f>N1417/M1417</f>
        <v>0.49946285172304777</v>
      </c>
      <c r="P1417" s="777" t="s">
        <v>286</v>
      </c>
      <c r="Q1417" s="198" t="s">
        <v>286</v>
      </c>
    </row>
    <row r="1418" spans="1:18" s="1080" customFormat="1" ht="65.099999999999994" customHeight="1">
      <c r="A1418" s="1070"/>
      <c r="B1418" s="1071"/>
      <c r="C1418" s="1072"/>
      <c r="D1418" s="1073" t="s">
        <v>674</v>
      </c>
      <c r="E1418" s="1074" t="s">
        <v>435</v>
      </c>
      <c r="F1418" s="1075">
        <f>192300+25150+38010</f>
        <v>255460</v>
      </c>
      <c r="G1418" s="1075" t="e">
        <f>#REF!</f>
        <v>#REF!</v>
      </c>
      <c r="H1418" s="1075" t="e">
        <f>#REF!</f>
        <v>#REF!</v>
      </c>
      <c r="I1418" s="1075" t="e">
        <f>#REF!</f>
        <v>#REF!</v>
      </c>
      <c r="J1418" s="1075" t="e">
        <f>#REF!</f>
        <v>#REF!</v>
      </c>
      <c r="K1418" s="1075" t="e">
        <f>#REF!</f>
        <v>#REF!</v>
      </c>
      <c r="L1418" s="1075">
        <f>SUM(L1419:L1421)</f>
        <v>298830</v>
      </c>
      <c r="M1418" s="1075">
        <f>SUM(M1419:M1421)</f>
        <v>297330</v>
      </c>
      <c r="N1418" s="1075">
        <f>SUM(N1419:N1421)</f>
        <v>152613.73000000001</v>
      </c>
      <c r="O1418" s="1076">
        <f t="shared" ref="O1418:O1430" si="178">N1418/M1418</f>
        <v>0.51328063094877752</v>
      </c>
      <c r="P1418" s="1077" t="s">
        <v>286</v>
      </c>
      <c r="Q1418" s="1078" t="s">
        <v>286</v>
      </c>
      <c r="R1418" s="1079"/>
    </row>
    <row r="1419" spans="1:18" s="1094" customFormat="1" ht="36" customHeight="1">
      <c r="A1419" s="1081"/>
      <c r="B1419" s="1082"/>
      <c r="C1419" s="1083"/>
      <c r="D1419" s="1084"/>
      <c r="E1419" s="1085" t="s">
        <v>710</v>
      </c>
      <c r="F1419" s="1086"/>
      <c r="G1419" s="1086"/>
      <c r="H1419" s="1086"/>
      <c r="I1419" s="1086"/>
      <c r="J1419" s="1087"/>
      <c r="K1419" s="1087"/>
      <c r="L1419" s="1110">
        <v>234294</v>
      </c>
      <c r="M1419" s="1110">
        <v>234294</v>
      </c>
      <c r="N1419" s="1110">
        <v>111953.92</v>
      </c>
      <c r="O1419" s="1111">
        <f t="shared" si="178"/>
        <v>0.47783519851127215</v>
      </c>
      <c r="P1419" s="1091" t="s">
        <v>286</v>
      </c>
      <c r="Q1419" s="1092" t="s">
        <v>286</v>
      </c>
      <c r="R1419" s="1093"/>
    </row>
    <row r="1420" spans="1:18" s="1094" customFormat="1" ht="36" customHeight="1">
      <c r="A1420" s="1081"/>
      <c r="B1420" s="1082"/>
      <c r="C1420" s="1083"/>
      <c r="D1420" s="1084"/>
      <c r="E1420" s="1085" t="s">
        <v>711</v>
      </c>
      <c r="F1420" s="1086"/>
      <c r="G1420" s="1086"/>
      <c r="H1420" s="1086"/>
      <c r="I1420" s="1086"/>
      <c r="J1420" s="1087"/>
      <c r="K1420" s="1087"/>
      <c r="L1420" s="1110">
        <v>17253</v>
      </c>
      <c r="M1420" s="1110">
        <v>17253</v>
      </c>
      <c r="N1420" s="1110">
        <v>17204.91</v>
      </c>
      <c r="O1420" s="1111">
        <f t="shared" si="178"/>
        <v>0.99721265866805775</v>
      </c>
      <c r="P1420" s="1091" t="s">
        <v>286</v>
      </c>
      <c r="Q1420" s="1092" t="s">
        <v>286</v>
      </c>
      <c r="R1420" s="1093"/>
    </row>
    <row r="1421" spans="1:18" s="1094" customFormat="1" ht="36" customHeight="1">
      <c r="A1421" s="1081"/>
      <c r="B1421" s="1082"/>
      <c r="C1421" s="1083"/>
      <c r="D1421" s="1084"/>
      <c r="E1421" s="1085" t="s">
        <v>712</v>
      </c>
      <c r="F1421" s="1086"/>
      <c r="G1421" s="1086"/>
      <c r="H1421" s="1086"/>
      <c r="I1421" s="1086"/>
      <c r="J1421" s="1087"/>
      <c r="K1421" s="1087"/>
      <c r="L1421" s="1110">
        <f>43696+3587</f>
        <v>47283</v>
      </c>
      <c r="M1421" s="1110">
        <f>42196+3587</f>
        <v>45783</v>
      </c>
      <c r="N1421" s="1110">
        <f>21723.31+1731.59</f>
        <v>23454.9</v>
      </c>
      <c r="O1421" s="1111">
        <f t="shared" si="178"/>
        <v>0.51230587772754077</v>
      </c>
      <c r="P1421" s="1091" t="s">
        <v>286</v>
      </c>
      <c r="Q1421" s="1092" t="s">
        <v>286</v>
      </c>
      <c r="R1421" s="1093"/>
    </row>
    <row r="1422" spans="1:18" s="1123" customFormat="1" ht="50.1" customHeight="1">
      <c r="A1422" s="1112"/>
      <c r="B1422" s="1113"/>
      <c r="C1422" s="1114"/>
      <c r="D1422" s="1115" t="s">
        <v>678</v>
      </c>
      <c r="E1422" s="1116" t="s">
        <v>446</v>
      </c>
      <c r="F1422" s="1117">
        <f>1000+13540+2000+5000+1000+1000+7000+6000</f>
        <v>36540</v>
      </c>
      <c r="G1422" s="1117"/>
      <c r="H1422" s="1117"/>
      <c r="I1422" s="1117"/>
      <c r="J1422" s="1118"/>
      <c r="K1422" s="1118"/>
      <c r="L1422" s="1118">
        <f>SUM(L1423:L1430)</f>
        <v>17470</v>
      </c>
      <c r="M1422" s="1118">
        <f>SUM(M1423:M1430)</f>
        <v>18970</v>
      </c>
      <c r="N1422" s="1118">
        <f>SUM(N1423:N1430)</f>
        <v>5366.3700000000008</v>
      </c>
      <c r="O1422" s="1119">
        <f t="shared" si="178"/>
        <v>0.28288719030047449</v>
      </c>
      <c r="P1422" s="1120" t="s">
        <v>286</v>
      </c>
      <c r="Q1422" s="1121" t="s">
        <v>286</v>
      </c>
      <c r="R1422" s="1122"/>
    </row>
    <row r="1423" spans="1:18" s="1123" customFormat="1" ht="57.75" customHeight="1">
      <c r="A1423" s="1112"/>
      <c r="B1423" s="1113"/>
      <c r="C1423" s="1114"/>
      <c r="D1423" s="1115"/>
      <c r="E1423" s="1124" t="s">
        <v>713</v>
      </c>
      <c r="F1423" s="1125"/>
      <c r="G1423" s="1125"/>
      <c r="H1423" s="1125"/>
      <c r="I1423" s="1125"/>
      <c r="J1423" s="1126"/>
      <c r="K1423" s="1126"/>
      <c r="L1423" s="1127">
        <v>2000</v>
      </c>
      <c r="M1423" s="1127">
        <v>2000</v>
      </c>
      <c r="N1423" s="1127">
        <v>2000</v>
      </c>
      <c r="O1423" s="1128">
        <f t="shared" si="178"/>
        <v>1</v>
      </c>
      <c r="P1423" s="1120" t="s">
        <v>286</v>
      </c>
      <c r="Q1423" s="1121" t="s">
        <v>286</v>
      </c>
      <c r="R1423" s="1122"/>
    </row>
    <row r="1424" spans="1:18" s="1140" customFormat="1" ht="67.5" customHeight="1">
      <c r="A1424" s="1129"/>
      <c r="B1424" s="1130"/>
      <c r="C1424" s="1131"/>
      <c r="D1424" s="1132"/>
      <c r="E1424" s="1124" t="s">
        <v>714</v>
      </c>
      <c r="F1424" s="1133"/>
      <c r="G1424" s="1133"/>
      <c r="H1424" s="1133"/>
      <c r="I1424" s="1133"/>
      <c r="J1424" s="1134"/>
      <c r="K1424" s="1134"/>
      <c r="L1424" s="1135">
        <v>4500</v>
      </c>
      <c r="M1424" s="1135">
        <v>3500</v>
      </c>
      <c r="N1424" s="1127">
        <v>229.1</v>
      </c>
      <c r="O1424" s="1136">
        <f t="shared" si="178"/>
        <v>6.5457142857142853E-2</v>
      </c>
      <c r="P1424" s="1137" t="s">
        <v>286</v>
      </c>
      <c r="Q1424" s="1138" t="s">
        <v>286</v>
      </c>
      <c r="R1424" s="1139"/>
    </row>
    <row r="1425" spans="1:18" s="1140" customFormat="1" ht="36" customHeight="1">
      <c r="A1425" s="1129"/>
      <c r="B1425" s="1130"/>
      <c r="C1425" s="1131"/>
      <c r="D1425" s="1132"/>
      <c r="E1425" s="1124" t="s">
        <v>715</v>
      </c>
      <c r="F1425" s="1133"/>
      <c r="G1425" s="1133"/>
      <c r="H1425" s="1133"/>
      <c r="I1425" s="1133"/>
      <c r="J1425" s="1134"/>
      <c r="K1425" s="1134"/>
      <c r="L1425" s="1135">
        <v>500</v>
      </c>
      <c r="M1425" s="1135">
        <v>500</v>
      </c>
      <c r="N1425" s="1127">
        <v>0</v>
      </c>
      <c r="O1425" s="1136">
        <f t="shared" si="178"/>
        <v>0</v>
      </c>
      <c r="P1425" s="1137" t="s">
        <v>286</v>
      </c>
      <c r="Q1425" s="1138" t="s">
        <v>286</v>
      </c>
      <c r="R1425" s="1139"/>
    </row>
    <row r="1426" spans="1:18" s="1140" customFormat="1" ht="36" customHeight="1">
      <c r="A1426" s="1129"/>
      <c r="B1426" s="1130"/>
      <c r="C1426" s="1131"/>
      <c r="D1426" s="1132"/>
      <c r="E1426" s="1124" t="s">
        <v>716</v>
      </c>
      <c r="F1426" s="1133"/>
      <c r="G1426" s="1133"/>
      <c r="H1426" s="1133"/>
      <c r="I1426" s="1133"/>
      <c r="J1426" s="1134"/>
      <c r="K1426" s="1134"/>
      <c r="L1426" s="1135">
        <v>1000</v>
      </c>
      <c r="M1426" s="1135">
        <v>1000</v>
      </c>
      <c r="N1426" s="1127">
        <v>0</v>
      </c>
      <c r="O1426" s="1136">
        <f>N1426/M1426</f>
        <v>0</v>
      </c>
      <c r="P1426" s="1137" t="s">
        <v>286</v>
      </c>
      <c r="Q1426" s="1138" t="s">
        <v>286</v>
      </c>
      <c r="R1426" s="1139"/>
    </row>
    <row r="1427" spans="1:18" s="1140" customFormat="1" ht="36" customHeight="1">
      <c r="A1427" s="1129"/>
      <c r="B1427" s="1130"/>
      <c r="C1427" s="1131"/>
      <c r="D1427" s="1132"/>
      <c r="E1427" s="1124" t="s">
        <v>717</v>
      </c>
      <c r="F1427" s="1133"/>
      <c r="G1427" s="1133"/>
      <c r="H1427" s="1133"/>
      <c r="I1427" s="1133"/>
      <c r="J1427" s="1134"/>
      <c r="K1427" s="1134"/>
      <c r="L1427" s="1135">
        <v>1000</v>
      </c>
      <c r="M1427" s="1135">
        <v>1000</v>
      </c>
      <c r="N1427" s="1127">
        <v>0</v>
      </c>
      <c r="O1427" s="1136">
        <f t="shared" si="178"/>
        <v>0</v>
      </c>
      <c r="P1427" s="1137" t="s">
        <v>286</v>
      </c>
      <c r="Q1427" s="1138" t="s">
        <v>286</v>
      </c>
      <c r="R1427" s="1139"/>
    </row>
    <row r="1428" spans="1:18" s="1140" customFormat="1" ht="36" customHeight="1">
      <c r="A1428" s="1129"/>
      <c r="B1428" s="1130"/>
      <c r="C1428" s="1131"/>
      <c r="D1428" s="1132"/>
      <c r="E1428" s="1124" t="s">
        <v>718</v>
      </c>
      <c r="F1428" s="1133"/>
      <c r="G1428" s="1133"/>
      <c r="H1428" s="1133"/>
      <c r="I1428" s="1133"/>
      <c r="J1428" s="1134"/>
      <c r="K1428" s="1134"/>
      <c r="L1428" s="1135">
        <v>2000</v>
      </c>
      <c r="M1428" s="1135">
        <v>2000</v>
      </c>
      <c r="N1428" s="1127">
        <v>0</v>
      </c>
      <c r="O1428" s="1136">
        <f t="shared" si="178"/>
        <v>0</v>
      </c>
      <c r="P1428" s="1137" t="s">
        <v>286</v>
      </c>
      <c r="Q1428" s="1138" t="s">
        <v>286</v>
      </c>
      <c r="R1428" s="1139"/>
    </row>
    <row r="1429" spans="1:18" s="1140" customFormat="1" ht="36" customHeight="1">
      <c r="A1429" s="1129"/>
      <c r="B1429" s="1130"/>
      <c r="C1429" s="1131"/>
      <c r="D1429" s="1132"/>
      <c r="E1429" s="1124" t="s">
        <v>719</v>
      </c>
      <c r="F1429" s="1133"/>
      <c r="G1429" s="1133"/>
      <c r="H1429" s="1133"/>
      <c r="I1429" s="1133"/>
      <c r="J1429" s="1134"/>
      <c r="K1429" s="1134"/>
      <c r="L1429" s="1135">
        <v>1970</v>
      </c>
      <c r="M1429" s="1135">
        <v>4470</v>
      </c>
      <c r="N1429" s="1127">
        <v>1970</v>
      </c>
      <c r="O1429" s="1136">
        <f t="shared" si="178"/>
        <v>0.4407158836689038</v>
      </c>
      <c r="P1429" s="1137" t="s">
        <v>286</v>
      </c>
      <c r="Q1429" s="1138" t="s">
        <v>286</v>
      </c>
      <c r="R1429" s="1139"/>
    </row>
    <row r="1430" spans="1:18" s="1140" customFormat="1" ht="36" customHeight="1">
      <c r="A1430" s="1129"/>
      <c r="B1430" s="1130"/>
      <c r="C1430" s="1131"/>
      <c r="D1430" s="1132"/>
      <c r="E1430" s="1124" t="s">
        <v>720</v>
      </c>
      <c r="F1430" s="1133"/>
      <c r="G1430" s="1133"/>
      <c r="H1430" s="1133"/>
      <c r="I1430" s="1133"/>
      <c r="J1430" s="1134"/>
      <c r="K1430" s="1134"/>
      <c r="L1430" s="1135">
        <v>4500</v>
      </c>
      <c r="M1430" s="1135">
        <v>4500</v>
      </c>
      <c r="N1430" s="1127">
        <v>1167.27</v>
      </c>
      <c r="O1430" s="1136">
        <f t="shared" si="178"/>
        <v>0.25939333333333331</v>
      </c>
      <c r="P1430" s="1137" t="s">
        <v>286</v>
      </c>
      <c r="Q1430" s="1138" t="s">
        <v>286</v>
      </c>
      <c r="R1430" s="1139"/>
    </row>
    <row r="1431" spans="1:18" s="170" customFormat="1" ht="73.5" customHeight="1">
      <c r="A1431" s="433"/>
      <c r="B1431" s="489"/>
      <c r="C1431" s="472">
        <v>2</v>
      </c>
      <c r="D1431" s="468"/>
      <c r="E1431" s="469" t="s">
        <v>227</v>
      </c>
      <c r="F1431" s="456"/>
      <c r="G1431" s="473"/>
      <c r="H1431" s="456"/>
      <c r="I1431" s="473"/>
      <c r="J1431" s="456"/>
      <c r="K1431" s="474">
        <f>1239534+46670+4000+44000+117200+33456</f>
        <v>1484860</v>
      </c>
      <c r="L1431" s="457">
        <f>L1432+L1437+L1449</f>
        <v>1484860</v>
      </c>
      <c r="M1431" s="457">
        <f t="shared" ref="M1431:N1431" si="179">M1432+M1437+M1449</f>
        <v>1488860</v>
      </c>
      <c r="N1431" s="457">
        <f t="shared" si="179"/>
        <v>759703.1399999999</v>
      </c>
      <c r="O1431" s="877">
        <f>N1431/M1431</f>
        <v>0.51025827814569524</v>
      </c>
      <c r="P1431" s="776" t="s">
        <v>286</v>
      </c>
      <c r="Q1431" s="170" t="s">
        <v>286</v>
      </c>
    </row>
    <row r="1432" spans="1:18" s="1080" customFormat="1" ht="50.1" customHeight="1">
      <c r="A1432" s="1070"/>
      <c r="B1432" s="1071"/>
      <c r="C1432" s="1072"/>
      <c r="D1432" s="1073" t="s">
        <v>674</v>
      </c>
      <c r="E1432" s="1074" t="s">
        <v>435</v>
      </c>
      <c r="F1432" s="1075">
        <f>192300+25150+38010</f>
        <v>255460</v>
      </c>
      <c r="G1432" s="1075" t="e">
        <f>#REF!</f>
        <v>#REF!</v>
      </c>
      <c r="H1432" s="1075" t="e">
        <f>#REF!</f>
        <v>#REF!</v>
      </c>
      <c r="I1432" s="1075" t="e">
        <f>#REF!</f>
        <v>#REF!</v>
      </c>
      <c r="J1432" s="1075" t="e">
        <f>#REF!</f>
        <v>#REF!</v>
      </c>
      <c r="K1432" s="1075" t="e">
        <f>#REF!</f>
        <v>#REF!</v>
      </c>
      <c r="L1432" s="1075">
        <f>L1433+L1434+L1435+L1436</f>
        <v>1286204</v>
      </c>
      <c r="M1432" s="1075">
        <f>M1433+M1434+M1435+M1436</f>
        <v>1278890</v>
      </c>
      <c r="N1432" s="1075">
        <f>N1433+N1434+N1435+N1436</f>
        <v>638532.31999999995</v>
      </c>
      <c r="O1432" s="1141">
        <f t="shared" ref="O1432:O1448" si="180">N1432/M1432</f>
        <v>0.49928634988153786</v>
      </c>
      <c r="P1432" s="1077" t="s">
        <v>286</v>
      </c>
      <c r="Q1432" s="1078" t="s">
        <v>286</v>
      </c>
      <c r="R1432" s="1079"/>
    </row>
    <row r="1433" spans="1:18" s="1094" customFormat="1" ht="53.25" customHeight="1">
      <c r="A1433" s="1081"/>
      <c r="B1433" s="1082"/>
      <c r="C1433" s="1083"/>
      <c r="D1433" s="1084"/>
      <c r="E1433" s="1085" t="s">
        <v>729</v>
      </c>
      <c r="F1433" s="1086"/>
      <c r="G1433" s="1086"/>
      <c r="H1433" s="1086"/>
      <c r="I1433" s="1086"/>
      <c r="J1433" s="1087"/>
      <c r="K1433" s="1087"/>
      <c r="L1433" s="1088">
        <v>1011643</v>
      </c>
      <c r="M1433" s="1088">
        <v>1001043</v>
      </c>
      <c r="N1433" s="1088">
        <v>472895.16</v>
      </c>
      <c r="O1433" s="1090">
        <f t="shared" si="180"/>
        <v>0.47240244425064654</v>
      </c>
      <c r="P1433" s="1091" t="s">
        <v>721</v>
      </c>
      <c r="Q1433" s="1092" t="s">
        <v>286</v>
      </c>
      <c r="R1433" s="1093"/>
    </row>
    <row r="1434" spans="1:18" s="1094" customFormat="1" ht="36" customHeight="1">
      <c r="A1434" s="1081"/>
      <c r="B1434" s="1082"/>
      <c r="C1434" s="1083"/>
      <c r="D1434" s="1084"/>
      <c r="E1434" s="1085" t="s">
        <v>711</v>
      </c>
      <c r="F1434" s="1086"/>
      <c r="G1434" s="1086"/>
      <c r="H1434" s="1086"/>
      <c r="I1434" s="1086"/>
      <c r="J1434" s="1087"/>
      <c r="K1434" s="1087"/>
      <c r="L1434" s="1088">
        <v>68686</v>
      </c>
      <c r="M1434" s="1088">
        <v>68686</v>
      </c>
      <c r="N1434" s="1088">
        <v>68685.009999999995</v>
      </c>
      <c r="O1434" s="1090">
        <f t="shared" si="180"/>
        <v>0.99998558658241843</v>
      </c>
      <c r="P1434" s="1091" t="s">
        <v>286</v>
      </c>
      <c r="Q1434" s="1092" t="s">
        <v>286</v>
      </c>
      <c r="R1434" s="1093"/>
    </row>
    <row r="1435" spans="1:18" s="1094" customFormat="1" ht="36" customHeight="1">
      <c r="A1435" s="1081"/>
      <c r="B1435" s="1082"/>
      <c r="C1435" s="1083"/>
      <c r="D1435" s="1084"/>
      <c r="E1435" s="1085" t="s">
        <v>722</v>
      </c>
      <c r="F1435" s="1086"/>
      <c r="G1435" s="1086"/>
      <c r="H1435" s="1086"/>
      <c r="I1435" s="1086"/>
      <c r="J1435" s="1087"/>
      <c r="K1435" s="1087"/>
      <c r="L1435" s="1088">
        <v>7500</v>
      </c>
      <c r="M1435" s="1088">
        <v>16500</v>
      </c>
      <c r="N1435" s="1089">
        <v>4216</v>
      </c>
      <c r="O1435" s="1090">
        <f t="shared" si="180"/>
        <v>0.25551515151515153</v>
      </c>
      <c r="P1435" s="1091" t="s">
        <v>286</v>
      </c>
      <c r="Q1435" s="1092" t="s">
        <v>286</v>
      </c>
      <c r="R1435" s="1093"/>
    </row>
    <row r="1436" spans="1:18" s="1094" customFormat="1" ht="36" customHeight="1">
      <c r="A1436" s="1081"/>
      <c r="B1436" s="1082"/>
      <c r="C1436" s="1083"/>
      <c r="D1436" s="1084"/>
      <c r="E1436" s="1085" t="s">
        <v>723</v>
      </c>
      <c r="F1436" s="1086"/>
      <c r="G1436" s="1086"/>
      <c r="H1436" s="1086"/>
      <c r="I1436" s="1086"/>
      <c r="J1436" s="1087"/>
      <c r="K1436" s="1087"/>
      <c r="L1436" s="1088">
        <v>198375</v>
      </c>
      <c r="M1436" s="1088">
        <v>192661</v>
      </c>
      <c r="N1436" s="1088">
        <v>92736.15</v>
      </c>
      <c r="O1436" s="1090">
        <f t="shared" si="180"/>
        <v>0.48134365543623253</v>
      </c>
      <c r="P1436" s="1091" t="s">
        <v>286</v>
      </c>
      <c r="Q1436" s="1092" t="s">
        <v>286</v>
      </c>
      <c r="R1436" s="1093"/>
    </row>
    <row r="1437" spans="1:18" s="1123" customFormat="1" ht="50.1" customHeight="1">
      <c r="A1437" s="1112"/>
      <c r="B1437" s="1113"/>
      <c r="C1437" s="1114"/>
      <c r="D1437" s="1115" t="s">
        <v>678</v>
      </c>
      <c r="E1437" s="1116" t="s">
        <v>446</v>
      </c>
      <c r="F1437" s="1117">
        <f>1000+13540+2000+5000+1000+1000+7000+6000</f>
        <v>36540</v>
      </c>
      <c r="G1437" s="1117"/>
      <c r="H1437" s="1117"/>
      <c r="I1437" s="1117"/>
      <c r="J1437" s="1118"/>
      <c r="K1437" s="1118"/>
      <c r="L1437" s="1118">
        <f>SUM(L1438:L1448)</f>
        <v>198656</v>
      </c>
      <c r="M1437" s="1118">
        <f>SUM(M1438:M1448)</f>
        <v>209970</v>
      </c>
      <c r="N1437" s="1118">
        <f>SUM(N1438:N1448)</f>
        <v>121170.81999999999</v>
      </c>
      <c r="O1437" s="1119">
        <f t="shared" si="180"/>
        <v>0.57708634566842876</v>
      </c>
      <c r="P1437" s="1120" t="s">
        <v>286</v>
      </c>
      <c r="Q1437" s="1121"/>
      <c r="R1437" s="1122"/>
    </row>
    <row r="1438" spans="1:18" s="1123" customFormat="1" ht="64.5" customHeight="1">
      <c r="A1438" s="1112"/>
      <c r="B1438" s="1113"/>
      <c r="C1438" s="1114"/>
      <c r="D1438" s="1115"/>
      <c r="E1438" s="1124" t="s">
        <v>713</v>
      </c>
      <c r="F1438" s="1125"/>
      <c r="G1438" s="1125"/>
      <c r="H1438" s="1125"/>
      <c r="I1438" s="1125"/>
      <c r="J1438" s="1126"/>
      <c r="K1438" s="1126"/>
      <c r="L1438" s="1127">
        <v>4000</v>
      </c>
      <c r="M1438" s="1127">
        <v>11000</v>
      </c>
      <c r="N1438" s="1127">
        <v>3773.06</v>
      </c>
      <c r="O1438" s="1128">
        <f t="shared" si="180"/>
        <v>0.34300545454545456</v>
      </c>
      <c r="P1438" s="1120" t="s">
        <v>286</v>
      </c>
      <c r="Q1438" s="1121" t="s">
        <v>286</v>
      </c>
      <c r="R1438" s="1122"/>
    </row>
    <row r="1439" spans="1:18" s="1140" customFormat="1" ht="64.5" customHeight="1">
      <c r="A1439" s="1129"/>
      <c r="B1439" s="1130"/>
      <c r="C1439" s="1131"/>
      <c r="D1439" s="1132"/>
      <c r="E1439" s="1124" t="s">
        <v>724</v>
      </c>
      <c r="F1439" s="1133"/>
      <c r="G1439" s="1133"/>
      <c r="H1439" s="1133"/>
      <c r="I1439" s="1133"/>
      <c r="J1439" s="1134"/>
      <c r="K1439" s="1134"/>
      <c r="L1439" s="1135">
        <v>14000</v>
      </c>
      <c r="M1439" s="1135">
        <v>14000</v>
      </c>
      <c r="N1439" s="1127">
        <v>6915.67</v>
      </c>
      <c r="O1439" s="1136">
        <f t="shared" si="180"/>
        <v>0.49397642857142859</v>
      </c>
      <c r="P1439" s="1137" t="s">
        <v>286</v>
      </c>
      <c r="Q1439" s="1138" t="s">
        <v>286</v>
      </c>
      <c r="R1439" s="1139"/>
    </row>
    <row r="1440" spans="1:18" s="1140" customFormat="1" ht="36" customHeight="1">
      <c r="A1440" s="1129"/>
      <c r="B1440" s="1130"/>
      <c r="C1440" s="1131"/>
      <c r="D1440" s="1132"/>
      <c r="E1440" s="1124" t="s">
        <v>715</v>
      </c>
      <c r="F1440" s="1133"/>
      <c r="G1440" s="1133"/>
      <c r="H1440" s="1133"/>
      <c r="I1440" s="1133"/>
      <c r="J1440" s="1134"/>
      <c r="K1440" s="1134"/>
      <c r="L1440" s="1135">
        <v>2500</v>
      </c>
      <c r="M1440" s="1135">
        <v>2500</v>
      </c>
      <c r="N1440" s="1127">
        <v>2187.3000000000002</v>
      </c>
      <c r="O1440" s="1136">
        <f t="shared" si="180"/>
        <v>0.87492000000000003</v>
      </c>
      <c r="P1440" s="1137" t="s">
        <v>286</v>
      </c>
      <c r="Q1440" s="1138" t="s">
        <v>286</v>
      </c>
      <c r="R1440" s="1139"/>
    </row>
    <row r="1441" spans="1:18" s="1140" customFormat="1" ht="36" customHeight="1">
      <c r="A1441" s="1129"/>
      <c r="B1441" s="1130"/>
      <c r="C1441" s="1131"/>
      <c r="D1441" s="1132"/>
      <c r="E1441" s="1124" t="s">
        <v>716</v>
      </c>
      <c r="F1441" s="1133"/>
      <c r="G1441" s="1133"/>
      <c r="H1441" s="1133"/>
      <c r="I1441" s="1133"/>
      <c r="J1441" s="1134"/>
      <c r="K1441" s="1134"/>
      <c r="L1441" s="1135">
        <v>9500</v>
      </c>
      <c r="M1441" s="1135">
        <v>9500</v>
      </c>
      <c r="N1441" s="1127">
        <v>5467.43</v>
      </c>
      <c r="O1441" s="1136">
        <f t="shared" si="180"/>
        <v>0.57551894736842113</v>
      </c>
      <c r="P1441" s="1137" t="s">
        <v>286</v>
      </c>
      <c r="Q1441" s="1138" t="s">
        <v>286</v>
      </c>
      <c r="R1441" s="1139"/>
    </row>
    <row r="1442" spans="1:18" s="1140" customFormat="1" ht="36" customHeight="1">
      <c r="A1442" s="1129"/>
      <c r="B1442" s="1130"/>
      <c r="C1442" s="1131"/>
      <c r="D1442" s="1132"/>
      <c r="E1442" s="1124" t="s">
        <v>717</v>
      </c>
      <c r="F1442" s="1133"/>
      <c r="G1442" s="1133"/>
      <c r="H1442" s="1133"/>
      <c r="I1442" s="1133"/>
      <c r="J1442" s="1134"/>
      <c r="K1442" s="1134"/>
      <c r="L1442" s="1135">
        <v>2500</v>
      </c>
      <c r="M1442" s="1135">
        <v>2500</v>
      </c>
      <c r="N1442" s="1127">
        <v>769.85</v>
      </c>
      <c r="O1442" s="1136">
        <f t="shared" si="180"/>
        <v>0.30793999999999999</v>
      </c>
      <c r="P1442" s="1137" t="s">
        <v>286</v>
      </c>
      <c r="Q1442" s="1138" t="s">
        <v>286</v>
      </c>
      <c r="R1442" s="1139"/>
    </row>
    <row r="1443" spans="1:18" s="1140" customFormat="1" ht="36" customHeight="1">
      <c r="A1443" s="1129"/>
      <c r="B1443" s="1130"/>
      <c r="C1443" s="1131"/>
      <c r="D1443" s="1132"/>
      <c r="E1443" s="1124" t="s">
        <v>718</v>
      </c>
      <c r="F1443" s="1133"/>
      <c r="G1443" s="1133"/>
      <c r="H1443" s="1133"/>
      <c r="I1443" s="1133"/>
      <c r="J1443" s="1134"/>
      <c r="K1443" s="1134"/>
      <c r="L1443" s="1135">
        <v>4000</v>
      </c>
      <c r="M1443" s="1135">
        <v>4000</v>
      </c>
      <c r="N1443" s="1127">
        <v>1544</v>
      </c>
      <c r="O1443" s="1136">
        <f t="shared" si="180"/>
        <v>0.38600000000000001</v>
      </c>
      <c r="P1443" s="1137" t="s">
        <v>286</v>
      </c>
      <c r="Q1443" s="1138" t="s">
        <v>286</v>
      </c>
      <c r="R1443" s="1139"/>
    </row>
    <row r="1444" spans="1:18" s="1140" customFormat="1" ht="36" customHeight="1">
      <c r="A1444" s="1129"/>
      <c r="B1444" s="1130"/>
      <c r="C1444" s="1131"/>
      <c r="D1444" s="1132"/>
      <c r="E1444" s="1124" t="s">
        <v>719</v>
      </c>
      <c r="F1444" s="1133"/>
      <c r="G1444" s="1133"/>
      <c r="H1444" s="1133"/>
      <c r="I1444" s="1133"/>
      <c r="J1444" s="1134"/>
      <c r="K1444" s="1134"/>
      <c r="L1444" s="1135">
        <v>33456</v>
      </c>
      <c r="M1444" s="1135">
        <v>39170</v>
      </c>
      <c r="N1444" s="1127">
        <v>30760</v>
      </c>
      <c r="O1444" s="1136">
        <f t="shared" si="180"/>
        <v>0.78529486852182795</v>
      </c>
      <c r="P1444" s="1137" t="s">
        <v>286</v>
      </c>
      <c r="Q1444" s="1138" t="s">
        <v>286</v>
      </c>
      <c r="R1444" s="1139"/>
    </row>
    <row r="1445" spans="1:18" s="1140" customFormat="1" ht="36" customHeight="1">
      <c r="A1445" s="1129"/>
      <c r="B1445" s="1130"/>
      <c r="C1445" s="1131"/>
      <c r="D1445" s="1132"/>
      <c r="E1445" s="1124" t="s">
        <v>725</v>
      </c>
      <c r="F1445" s="1133"/>
      <c r="G1445" s="1133"/>
      <c r="H1445" s="1133"/>
      <c r="I1445" s="1133"/>
      <c r="J1445" s="1134"/>
      <c r="K1445" s="1134"/>
      <c r="L1445" s="1135">
        <v>0</v>
      </c>
      <c r="M1445" s="1135">
        <v>0</v>
      </c>
      <c r="N1445" s="1127">
        <v>0</v>
      </c>
      <c r="O1445" s="1136">
        <v>0</v>
      </c>
      <c r="P1445" s="1137" t="s">
        <v>286</v>
      </c>
      <c r="Q1445" s="1138" t="s">
        <v>286</v>
      </c>
      <c r="R1445" s="1139"/>
    </row>
    <row r="1446" spans="1:18" s="1140" customFormat="1" ht="36" customHeight="1">
      <c r="A1446" s="1129"/>
      <c r="B1446" s="1130"/>
      <c r="C1446" s="1131"/>
      <c r="D1446" s="1132"/>
      <c r="E1446" s="1124" t="s">
        <v>726</v>
      </c>
      <c r="F1446" s="1133"/>
      <c r="G1446" s="1133"/>
      <c r="H1446" s="1133"/>
      <c r="I1446" s="1133"/>
      <c r="J1446" s="1134"/>
      <c r="K1446" s="1134"/>
      <c r="L1446" s="1135">
        <v>44000</v>
      </c>
      <c r="M1446" s="1135">
        <v>44000</v>
      </c>
      <c r="N1446" s="1127">
        <v>30869.42</v>
      </c>
      <c r="O1446" s="1136">
        <f t="shared" si="180"/>
        <v>0.70157772727272727</v>
      </c>
      <c r="P1446" s="1137" t="s">
        <v>286</v>
      </c>
      <c r="Q1446" s="1138" t="s">
        <v>286</v>
      </c>
      <c r="R1446" s="1139"/>
    </row>
    <row r="1447" spans="1:18" s="1140" customFormat="1" ht="36" customHeight="1">
      <c r="A1447" s="1129"/>
      <c r="B1447" s="1130"/>
      <c r="C1447" s="1131"/>
      <c r="D1447" s="1132"/>
      <c r="E1447" s="1124" t="s">
        <v>727</v>
      </c>
      <c r="F1447" s="1133"/>
      <c r="G1447" s="1133"/>
      <c r="H1447" s="1133"/>
      <c r="I1447" s="1133"/>
      <c r="J1447" s="1134"/>
      <c r="K1447" s="1134"/>
      <c r="L1447" s="1135">
        <v>10000</v>
      </c>
      <c r="M1447" s="1135">
        <v>5000</v>
      </c>
      <c r="N1447" s="1127">
        <v>0</v>
      </c>
      <c r="O1447" s="1136">
        <f t="shared" si="180"/>
        <v>0</v>
      </c>
      <c r="P1447" s="1137" t="s">
        <v>286</v>
      </c>
      <c r="Q1447" s="1138" t="s">
        <v>286</v>
      </c>
      <c r="R1447" s="1139"/>
    </row>
    <row r="1448" spans="1:18" s="1140" customFormat="1" ht="36" customHeight="1">
      <c r="A1448" s="1129"/>
      <c r="B1448" s="1130"/>
      <c r="C1448" s="1131"/>
      <c r="D1448" s="1132"/>
      <c r="E1448" s="1124" t="s">
        <v>728</v>
      </c>
      <c r="F1448" s="1133"/>
      <c r="G1448" s="1133"/>
      <c r="H1448" s="1133"/>
      <c r="I1448" s="1133"/>
      <c r="J1448" s="1134"/>
      <c r="K1448" s="1134"/>
      <c r="L1448" s="1135">
        <v>74700</v>
      </c>
      <c r="M1448" s="1135">
        <v>78300</v>
      </c>
      <c r="N1448" s="1127">
        <v>38884.089999999997</v>
      </c>
      <c r="O1448" s="1136">
        <f t="shared" si="180"/>
        <v>0.49660395913154531</v>
      </c>
      <c r="P1448" s="1137" t="s">
        <v>286</v>
      </c>
      <c r="Q1448" s="1138" t="s">
        <v>286</v>
      </c>
      <c r="R1448" s="1139"/>
    </row>
    <row r="1449" spans="1:18" s="444" customFormat="1" ht="57" customHeight="1">
      <c r="A1449" s="672"/>
      <c r="B1449" s="673"/>
      <c r="C1449" s="965"/>
      <c r="D1449" s="442"/>
      <c r="E1449" s="1026" t="s">
        <v>467</v>
      </c>
      <c r="F1449" s="955">
        <v>117300</v>
      </c>
      <c r="G1449" s="955">
        <v>111778</v>
      </c>
      <c r="H1449" s="955">
        <v>74715.13</v>
      </c>
      <c r="I1449" s="704"/>
      <c r="J1449" s="704"/>
      <c r="K1449" s="532"/>
      <c r="L1449" s="955">
        <v>0</v>
      </c>
      <c r="M1449" s="955">
        <v>0</v>
      </c>
      <c r="N1449" s="955">
        <v>0</v>
      </c>
      <c r="O1449" s="932">
        <v>0</v>
      </c>
      <c r="P1449" s="960" t="s">
        <v>286</v>
      </c>
      <c r="Q1449" s="822" t="s">
        <v>286</v>
      </c>
      <c r="R1449" s="961"/>
    </row>
    <row r="1450" spans="1:18" s="435" customFormat="1" ht="89.25" customHeight="1">
      <c r="A1450" s="433"/>
      <c r="B1450" s="489"/>
      <c r="C1450" s="472">
        <v>3</v>
      </c>
      <c r="D1450" s="468"/>
      <c r="E1450" s="469" t="s">
        <v>406</v>
      </c>
      <c r="F1450" s="456"/>
      <c r="G1450" s="473"/>
      <c r="H1450" s="457">
        <f>H1452+H1453</f>
        <v>76609.56</v>
      </c>
      <c r="I1450" s="473"/>
      <c r="J1450" s="456"/>
      <c r="K1450" s="474"/>
      <c r="L1450" s="457">
        <f>F1450+G1450+H1450+I1450+J1450+K1450</f>
        <v>76609.56</v>
      </c>
      <c r="M1450" s="457">
        <f>M1452+M1453</f>
        <v>76609.56</v>
      </c>
      <c r="N1450" s="457">
        <f>N1452+N1453</f>
        <v>30287.79</v>
      </c>
      <c r="O1450" s="877">
        <f>N1450/M1450</f>
        <v>0.39535261656639198</v>
      </c>
      <c r="P1450" s="776" t="s">
        <v>286</v>
      </c>
    </row>
    <row r="1451" spans="1:18" s="434" customFormat="1" ht="38.1" customHeight="1">
      <c r="A1451" s="433"/>
      <c r="B1451" s="427"/>
      <c r="C1451" s="463"/>
      <c r="D1451" s="448"/>
      <c r="E1451" s="440" t="s">
        <v>21</v>
      </c>
      <c r="F1451" s="417"/>
      <c r="G1451" s="471"/>
      <c r="H1451" s="417"/>
      <c r="I1451" s="471"/>
      <c r="J1451" s="417"/>
      <c r="K1451" s="471"/>
      <c r="L1451" s="417"/>
      <c r="M1451" s="417"/>
      <c r="N1451" s="417"/>
      <c r="O1451" s="878"/>
      <c r="P1451" s="776"/>
    </row>
    <row r="1452" spans="1:18" s="629" customFormat="1" ht="39.75" customHeight="1">
      <c r="A1452" s="493"/>
      <c r="B1452" s="792"/>
      <c r="C1452" s="627"/>
      <c r="D1452" s="628"/>
      <c r="E1452" s="1246" t="s">
        <v>287</v>
      </c>
      <c r="F1452" s="421"/>
      <c r="G1452" s="702"/>
      <c r="H1452" s="421">
        <v>76609.56</v>
      </c>
      <c r="I1452" s="702"/>
      <c r="J1452" s="421"/>
      <c r="K1452" s="702"/>
      <c r="L1452" s="421">
        <f t="shared" ref="L1452:O1453" si="181">F1452+G1452+H1452+I1452+J1452+K1452</f>
        <v>76609.56</v>
      </c>
      <c r="M1452" s="421">
        <v>76609.56</v>
      </c>
      <c r="N1452" s="421">
        <v>30287.79</v>
      </c>
      <c r="O1452" s="903">
        <f>N1452/M1452</f>
        <v>0.39535261656639198</v>
      </c>
      <c r="P1452" s="784" t="s">
        <v>286</v>
      </c>
    </row>
    <row r="1453" spans="1:18" s="629" customFormat="1" ht="39.75" customHeight="1">
      <c r="A1453" s="493"/>
      <c r="B1453" s="792"/>
      <c r="C1453" s="627"/>
      <c r="D1453" s="628"/>
      <c r="E1453" s="1246" t="s">
        <v>730</v>
      </c>
      <c r="F1453" s="421"/>
      <c r="G1453" s="702"/>
      <c r="H1453" s="421">
        <v>0</v>
      </c>
      <c r="I1453" s="702"/>
      <c r="J1453" s="421"/>
      <c r="K1453" s="702"/>
      <c r="L1453" s="421">
        <f t="shared" si="181"/>
        <v>0</v>
      </c>
      <c r="M1453" s="421">
        <f t="shared" si="181"/>
        <v>0</v>
      </c>
      <c r="N1453" s="421">
        <f t="shared" si="181"/>
        <v>0</v>
      </c>
      <c r="O1453" s="903">
        <f t="shared" si="181"/>
        <v>0</v>
      </c>
      <c r="P1453" s="784" t="s">
        <v>286</v>
      </c>
    </row>
    <row r="1454" spans="1:18" s="435" customFormat="1" ht="89.25" customHeight="1">
      <c r="A1454" s="433"/>
      <c r="B1454" s="489"/>
      <c r="C1454" s="472">
        <v>4</v>
      </c>
      <c r="D1454" s="468"/>
      <c r="E1454" s="469" t="s">
        <v>731</v>
      </c>
      <c r="F1454" s="456"/>
      <c r="G1454" s="473"/>
      <c r="H1454" s="457">
        <f>H1456+H1457</f>
        <v>76609.56</v>
      </c>
      <c r="I1454" s="473"/>
      <c r="J1454" s="456"/>
      <c r="K1454" s="474"/>
      <c r="L1454" s="457">
        <v>0</v>
      </c>
      <c r="M1454" s="457">
        <f>M1456+M1457</f>
        <v>25120</v>
      </c>
      <c r="N1454" s="457">
        <f>N1456+N1457</f>
        <v>2314.67</v>
      </c>
      <c r="O1454" s="877">
        <f>N1454/M1454</f>
        <v>9.2144506369426754E-2</v>
      </c>
      <c r="P1454" s="776" t="s">
        <v>286</v>
      </c>
    </row>
    <row r="1455" spans="1:18" s="434" customFormat="1" ht="38.1" customHeight="1">
      <c r="A1455" s="433"/>
      <c r="B1455" s="427"/>
      <c r="C1455" s="463"/>
      <c r="D1455" s="448"/>
      <c r="E1455" s="1068" t="s">
        <v>21</v>
      </c>
      <c r="F1455" s="417"/>
      <c r="G1455" s="471"/>
      <c r="H1455" s="417"/>
      <c r="I1455" s="471"/>
      <c r="J1455" s="417"/>
      <c r="K1455" s="471"/>
      <c r="L1455" s="417"/>
      <c r="M1455" s="417"/>
      <c r="N1455" s="417"/>
      <c r="O1455" s="878"/>
      <c r="P1455" s="776"/>
    </row>
    <row r="1456" spans="1:18" s="629" customFormat="1" ht="39.75" customHeight="1">
      <c r="A1456" s="493"/>
      <c r="B1456" s="792"/>
      <c r="C1456" s="627"/>
      <c r="D1456" s="628"/>
      <c r="E1456" s="1246" t="s">
        <v>287</v>
      </c>
      <c r="F1456" s="421"/>
      <c r="G1456" s="702"/>
      <c r="H1456" s="421">
        <v>76609.56</v>
      </c>
      <c r="I1456" s="702"/>
      <c r="J1456" s="421"/>
      <c r="K1456" s="702"/>
      <c r="L1456" s="421">
        <v>0</v>
      </c>
      <c r="M1456" s="421">
        <v>25120</v>
      </c>
      <c r="N1456" s="421">
        <v>2314.67</v>
      </c>
      <c r="O1456" s="903">
        <f>N1456/M1456</f>
        <v>9.2144506369426754E-2</v>
      </c>
      <c r="P1456" s="784" t="s">
        <v>286</v>
      </c>
    </row>
    <row r="1457" spans="1:17" s="629" customFormat="1" ht="39.75" customHeight="1">
      <c r="A1457" s="493"/>
      <c r="B1457" s="792"/>
      <c r="C1457" s="627"/>
      <c r="D1457" s="628"/>
      <c r="E1457" s="1246" t="s">
        <v>730</v>
      </c>
      <c r="F1457" s="421"/>
      <c r="G1457" s="702"/>
      <c r="H1457" s="421">
        <v>0</v>
      </c>
      <c r="I1457" s="702"/>
      <c r="J1457" s="421"/>
      <c r="K1457" s="702"/>
      <c r="L1457" s="421">
        <f t="shared" ref="L1457" si="182">F1457+G1457+H1457+I1457+J1457+K1457</f>
        <v>0</v>
      </c>
      <c r="M1457" s="421">
        <f t="shared" ref="M1457" si="183">G1457+H1457+I1457+J1457+K1457+L1457</f>
        <v>0</v>
      </c>
      <c r="N1457" s="421">
        <f t="shared" ref="N1457" si="184">H1457+I1457+J1457+K1457+L1457+M1457</f>
        <v>0</v>
      </c>
      <c r="O1457" s="903">
        <f t="shared" ref="O1457" si="185">I1457+J1457+K1457+L1457+M1457+N1457</f>
        <v>0</v>
      </c>
      <c r="P1457" s="784" t="s">
        <v>286</v>
      </c>
    </row>
    <row r="1458" spans="1:17" s="435" customFormat="1" ht="89.25" customHeight="1">
      <c r="A1458" s="433"/>
      <c r="B1458" s="489"/>
      <c r="C1458" s="472">
        <v>5</v>
      </c>
      <c r="D1458" s="468"/>
      <c r="E1458" s="469" t="s">
        <v>732</v>
      </c>
      <c r="F1458" s="456"/>
      <c r="G1458" s="473"/>
      <c r="H1458" s="457">
        <f>H1460+H1461</f>
        <v>76609.56</v>
      </c>
      <c r="I1458" s="473"/>
      <c r="J1458" s="456"/>
      <c r="K1458" s="474"/>
      <c r="L1458" s="457">
        <v>0</v>
      </c>
      <c r="M1458" s="457">
        <f>M1460+M1461</f>
        <v>25320</v>
      </c>
      <c r="N1458" s="457">
        <f>N1460+N1461</f>
        <v>2740.92</v>
      </c>
      <c r="O1458" s="877">
        <f>N1458/M1458</f>
        <v>0.10825118483412323</v>
      </c>
      <c r="P1458" s="776" t="s">
        <v>286</v>
      </c>
    </row>
    <row r="1459" spans="1:17" s="434" customFormat="1" ht="38.1" customHeight="1">
      <c r="A1459" s="433"/>
      <c r="B1459" s="427"/>
      <c r="C1459" s="463"/>
      <c r="D1459" s="448"/>
      <c r="E1459" s="1068" t="s">
        <v>21</v>
      </c>
      <c r="F1459" s="417"/>
      <c r="G1459" s="471"/>
      <c r="H1459" s="417"/>
      <c r="I1459" s="471"/>
      <c r="J1459" s="417"/>
      <c r="K1459" s="471"/>
      <c r="L1459" s="417"/>
      <c r="M1459" s="417"/>
      <c r="N1459" s="417"/>
      <c r="O1459" s="878"/>
      <c r="P1459" s="776"/>
    </row>
    <row r="1460" spans="1:17" s="629" customFormat="1" ht="39.75" customHeight="1">
      <c r="A1460" s="493"/>
      <c r="B1460" s="792"/>
      <c r="C1460" s="627"/>
      <c r="D1460" s="628"/>
      <c r="E1460" s="1246" t="s">
        <v>287</v>
      </c>
      <c r="F1460" s="421"/>
      <c r="G1460" s="702"/>
      <c r="H1460" s="421">
        <v>76609.56</v>
      </c>
      <c r="I1460" s="702"/>
      <c r="J1460" s="421"/>
      <c r="K1460" s="702"/>
      <c r="L1460" s="421">
        <v>0</v>
      </c>
      <c r="M1460" s="421">
        <v>25320</v>
      </c>
      <c r="N1460" s="421">
        <v>2740.92</v>
      </c>
      <c r="O1460" s="903">
        <f>N1460/M1460</f>
        <v>0.10825118483412323</v>
      </c>
      <c r="P1460" s="784" t="s">
        <v>286</v>
      </c>
    </row>
    <row r="1461" spans="1:17" s="629" customFormat="1" ht="39.75" customHeight="1">
      <c r="A1461" s="493"/>
      <c r="B1461" s="792"/>
      <c r="C1461" s="627"/>
      <c r="D1461" s="628"/>
      <c r="E1461" s="1246" t="s">
        <v>730</v>
      </c>
      <c r="F1461" s="421"/>
      <c r="G1461" s="702"/>
      <c r="H1461" s="421">
        <v>0</v>
      </c>
      <c r="I1461" s="702"/>
      <c r="J1461" s="421"/>
      <c r="K1461" s="702"/>
      <c r="L1461" s="421">
        <f t="shared" ref="L1461" si="186">F1461+G1461+H1461+I1461+J1461+K1461</f>
        <v>0</v>
      </c>
      <c r="M1461" s="421">
        <f t="shared" ref="M1461" si="187">G1461+H1461+I1461+J1461+K1461+L1461</f>
        <v>0</v>
      </c>
      <c r="N1461" s="421">
        <f t="shared" ref="N1461" si="188">H1461+I1461+J1461+K1461+L1461+M1461</f>
        <v>0</v>
      </c>
      <c r="O1461" s="903">
        <f t="shared" ref="O1461" si="189">I1461+J1461+K1461+L1461+M1461+N1461</f>
        <v>0</v>
      </c>
      <c r="P1461" s="784" t="s">
        <v>286</v>
      </c>
    </row>
    <row r="1462" spans="1:17" s="435" customFormat="1" ht="89.25" customHeight="1">
      <c r="A1462" s="433"/>
      <c r="B1462" s="489"/>
      <c r="C1462" s="472">
        <v>6</v>
      </c>
      <c r="D1462" s="468"/>
      <c r="E1462" s="469" t="s">
        <v>733</v>
      </c>
      <c r="F1462" s="456"/>
      <c r="G1462" s="473"/>
      <c r="H1462" s="457">
        <f>H1464+H1465</f>
        <v>76609.56</v>
      </c>
      <c r="I1462" s="473"/>
      <c r="J1462" s="456"/>
      <c r="K1462" s="474"/>
      <c r="L1462" s="457">
        <v>0</v>
      </c>
      <c r="M1462" s="457">
        <f>M1464+M1465</f>
        <v>38394</v>
      </c>
      <c r="N1462" s="457">
        <f>N1464+N1465</f>
        <v>0</v>
      </c>
      <c r="O1462" s="877">
        <f>N1462/M1462</f>
        <v>0</v>
      </c>
      <c r="P1462" s="776" t="s">
        <v>286</v>
      </c>
    </row>
    <row r="1463" spans="1:17" s="434" customFormat="1" ht="38.1" customHeight="1">
      <c r="A1463" s="433"/>
      <c r="B1463" s="427"/>
      <c r="C1463" s="463"/>
      <c r="D1463" s="448"/>
      <c r="E1463" s="1068" t="s">
        <v>21</v>
      </c>
      <c r="F1463" s="417"/>
      <c r="G1463" s="471"/>
      <c r="H1463" s="417"/>
      <c r="I1463" s="471"/>
      <c r="J1463" s="417"/>
      <c r="K1463" s="471"/>
      <c r="L1463" s="417"/>
      <c r="M1463" s="417"/>
      <c r="N1463" s="417"/>
      <c r="O1463" s="878"/>
      <c r="P1463" s="776"/>
    </row>
    <row r="1464" spans="1:17" s="629" customFormat="1" ht="39.75" customHeight="1">
      <c r="A1464" s="493"/>
      <c r="B1464" s="792"/>
      <c r="C1464" s="627"/>
      <c r="D1464" s="628"/>
      <c r="E1464" s="1246" t="s">
        <v>287</v>
      </c>
      <c r="F1464" s="421"/>
      <c r="G1464" s="702"/>
      <c r="H1464" s="421">
        <v>76609.56</v>
      </c>
      <c r="I1464" s="702"/>
      <c r="J1464" s="421"/>
      <c r="K1464" s="702"/>
      <c r="L1464" s="421">
        <v>0</v>
      </c>
      <c r="M1464" s="421">
        <v>38394</v>
      </c>
      <c r="N1464" s="421">
        <v>0</v>
      </c>
      <c r="O1464" s="903">
        <f>N1464/M1464</f>
        <v>0</v>
      </c>
      <c r="P1464" s="784" t="s">
        <v>286</v>
      </c>
    </row>
    <row r="1465" spans="1:17" s="629" customFormat="1" ht="39.75" customHeight="1">
      <c r="A1465" s="493"/>
      <c r="B1465" s="792"/>
      <c r="C1465" s="627"/>
      <c r="D1465" s="628"/>
      <c r="E1465" s="1246" t="s">
        <v>730</v>
      </c>
      <c r="F1465" s="421"/>
      <c r="G1465" s="702"/>
      <c r="H1465" s="421">
        <v>0</v>
      </c>
      <c r="I1465" s="702"/>
      <c r="J1465" s="421"/>
      <c r="K1465" s="702"/>
      <c r="L1465" s="421">
        <f t="shared" ref="L1465" si="190">F1465+G1465+H1465+I1465+J1465+K1465</f>
        <v>0</v>
      </c>
      <c r="M1465" s="421">
        <f t="shared" ref="M1465" si="191">G1465+H1465+I1465+J1465+K1465+L1465</f>
        <v>0</v>
      </c>
      <c r="N1465" s="421">
        <f t="shared" ref="N1465" si="192">H1465+I1465+J1465+K1465+L1465+M1465</f>
        <v>0</v>
      </c>
      <c r="O1465" s="903">
        <f t="shared" ref="O1465" si="193">I1465+J1465+K1465+L1465+M1465+N1465</f>
        <v>0</v>
      </c>
      <c r="P1465" s="784" t="s">
        <v>286</v>
      </c>
    </row>
    <row r="1466" spans="1:17" s="435" customFormat="1" ht="64.5" customHeight="1">
      <c r="A1466" s="492"/>
      <c r="B1466" s="78">
        <v>85228</v>
      </c>
      <c r="C1466" s="77"/>
      <c r="D1466" s="181"/>
      <c r="E1466" s="180" t="s">
        <v>734</v>
      </c>
      <c r="F1466" s="414">
        <f t="shared" ref="F1466:K1466" si="194">SUM(F1467:F1468)</f>
        <v>0</v>
      </c>
      <c r="G1466" s="414">
        <f t="shared" si="194"/>
        <v>0</v>
      </c>
      <c r="H1466" s="414">
        <f t="shared" si="194"/>
        <v>0</v>
      </c>
      <c r="I1466" s="414">
        <f t="shared" si="194"/>
        <v>0</v>
      </c>
      <c r="J1466" s="414">
        <f t="shared" si="194"/>
        <v>0</v>
      </c>
      <c r="K1466" s="414">
        <f t="shared" si="194"/>
        <v>232000</v>
      </c>
      <c r="L1466" s="95">
        <v>0</v>
      </c>
      <c r="M1466" s="95">
        <f>M1467</f>
        <v>40320</v>
      </c>
      <c r="N1466" s="95">
        <f>N1467</f>
        <v>0</v>
      </c>
      <c r="O1466" s="868">
        <v>0</v>
      </c>
      <c r="P1466" s="776" t="s">
        <v>286</v>
      </c>
    </row>
    <row r="1467" spans="1:17" s="198" customFormat="1" ht="73.95" customHeight="1">
      <c r="A1467" s="492"/>
      <c r="B1467" s="204"/>
      <c r="C1467" s="214">
        <v>1</v>
      </c>
      <c r="D1467" s="213"/>
      <c r="E1467" s="212" t="s">
        <v>735</v>
      </c>
      <c r="F1467" s="419"/>
      <c r="G1467" s="418"/>
      <c r="H1467" s="418"/>
      <c r="I1467" s="418"/>
      <c r="J1467" s="418"/>
      <c r="K1467" s="418">
        <v>12000</v>
      </c>
      <c r="L1467" s="538">
        <v>0</v>
      </c>
      <c r="M1467" s="538">
        <v>40320</v>
      </c>
      <c r="N1467" s="538">
        <v>0</v>
      </c>
      <c r="O1467" s="931">
        <v>0</v>
      </c>
      <c r="P1467" s="777" t="s">
        <v>286</v>
      </c>
    </row>
    <row r="1468" spans="1:17" s="435" customFormat="1" ht="58.5" customHeight="1">
      <c r="A1468" s="492"/>
      <c r="B1468" s="78">
        <v>85230</v>
      </c>
      <c r="C1468" s="77"/>
      <c r="D1468" s="181"/>
      <c r="E1468" s="180" t="s">
        <v>214</v>
      </c>
      <c r="F1468" s="95">
        <f>F1470+F1484</f>
        <v>0</v>
      </c>
      <c r="G1468" s="95">
        <f>G1470+G1484</f>
        <v>0</v>
      </c>
      <c r="H1468" s="95">
        <f>H1470+H1484</f>
        <v>0</v>
      </c>
      <c r="I1468" s="95">
        <f>I1470+I1484</f>
        <v>0</v>
      </c>
      <c r="J1468" s="95">
        <f>J1470+J1484</f>
        <v>0</v>
      </c>
      <c r="K1468" s="95">
        <f>SUM(K1469:K1470)</f>
        <v>220000</v>
      </c>
      <c r="L1468" s="95">
        <f t="shared" ref="L1468:L1469" si="195">SUM(F1468:K1468)</f>
        <v>220000</v>
      </c>
      <c r="M1468" s="95">
        <f>SUM(M1469:M1470)</f>
        <v>220000</v>
      </c>
      <c r="N1468" s="95">
        <f>SUM(N1469:N1470)</f>
        <v>67714.5</v>
      </c>
      <c r="O1468" s="868">
        <f>N1468/M1468</f>
        <v>0.30779318181818183</v>
      </c>
      <c r="P1468" s="776" t="s">
        <v>286</v>
      </c>
    </row>
    <row r="1469" spans="1:17" s="198" customFormat="1" ht="99" customHeight="1">
      <c r="A1469" s="492"/>
      <c r="B1469" s="427"/>
      <c r="C1469" s="571">
        <v>1</v>
      </c>
      <c r="D1469" s="572"/>
      <c r="E1469" s="569" t="s">
        <v>226</v>
      </c>
      <c r="F1469" s="564"/>
      <c r="G1469" s="564"/>
      <c r="H1469" s="564"/>
      <c r="I1469" s="564"/>
      <c r="J1469" s="564"/>
      <c r="K1469" s="681">
        <v>132000</v>
      </c>
      <c r="L1469" s="680">
        <f t="shared" si="195"/>
        <v>132000</v>
      </c>
      <c r="M1469" s="680">
        <v>132000</v>
      </c>
      <c r="N1469" s="680">
        <v>39583</v>
      </c>
      <c r="O1469" s="915">
        <f>N1469/M1469</f>
        <v>0.29987121212121209</v>
      </c>
      <c r="P1469" s="777" t="s">
        <v>286</v>
      </c>
    </row>
    <row r="1470" spans="1:17" s="435" customFormat="1" ht="76.2" customHeight="1">
      <c r="A1470" s="433"/>
      <c r="B1470" s="489"/>
      <c r="C1470" s="472">
        <v>2</v>
      </c>
      <c r="D1470" s="468"/>
      <c r="E1470" s="469" t="s">
        <v>225</v>
      </c>
      <c r="F1470" s="456"/>
      <c r="G1470" s="473"/>
      <c r="H1470" s="456"/>
      <c r="I1470" s="473"/>
      <c r="J1470" s="456"/>
      <c r="K1470" s="474">
        <v>88000</v>
      </c>
      <c r="L1470" s="457">
        <f>SUM(F1470:K1470)</f>
        <v>88000</v>
      </c>
      <c r="M1470" s="457">
        <v>88000</v>
      </c>
      <c r="N1470" s="457">
        <v>28131.5</v>
      </c>
      <c r="O1470" s="877">
        <f>N1470/M1470</f>
        <v>0.31967613636363634</v>
      </c>
      <c r="P1470" s="776" t="s">
        <v>286</v>
      </c>
    </row>
    <row r="1471" spans="1:17" s="170" customFormat="1" ht="64.5" customHeight="1">
      <c r="A1471" s="492"/>
      <c r="B1471" s="78">
        <v>85295</v>
      </c>
      <c r="C1471" s="77"/>
      <c r="D1471" s="181"/>
      <c r="E1471" s="180" t="s">
        <v>8</v>
      </c>
      <c r="F1471" s="414">
        <f t="shared" ref="F1471:K1471" si="196">SUM(F1472:F1473)</f>
        <v>0</v>
      </c>
      <c r="G1471" s="414">
        <f t="shared" si="196"/>
        <v>0</v>
      </c>
      <c r="H1471" s="414">
        <f t="shared" si="196"/>
        <v>0</v>
      </c>
      <c r="I1471" s="414">
        <f t="shared" si="196"/>
        <v>0</v>
      </c>
      <c r="J1471" s="414">
        <f t="shared" si="196"/>
        <v>0</v>
      </c>
      <c r="K1471" s="414">
        <f t="shared" si="196"/>
        <v>18000</v>
      </c>
      <c r="L1471" s="95">
        <f t="shared" ref="L1471:L1486" si="197">SUM(F1471:K1471)</f>
        <v>18000</v>
      </c>
      <c r="M1471" s="95">
        <f>M1472+M1473+M1474</f>
        <v>18680</v>
      </c>
      <c r="N1471" s="95">
        <f>N1472+N1473+N1474</f>
        <v>3000</v>
      </c>
      <c r="O1471" s="868">
        <f>N1471/M1471</f>
        <v>0.16059957173447537</v>
      </c>
      <c r="P1471" s="776" t="s">
        <v>286</v>
      </c>
      <c r="Q1471" s="170" t="s">
        <v>286</v>
      </c>
    </row>
    <row r="1472" spans="1:17" s="198" customFormat="1" ht="73.95" customHeight="1">
      <c r="A1472" s="492"/>
      <c r="B1472" s="204"/>
      <c r="C1472" s="214">
        <v>1</v>
      </c>
      <c r="D1472" s="213"/>
      <c r="E1472" s="212" t="s">
        <v>181</v>
      </c>
      <c r="F1472" s="419"/>
      <c r="G1472" s="418"/>
      <c r="H1472" s="418"/>
      <c r="I1472" s="418"/>
      <c r="J1472" s="418"/>
      <c r="K1472" s="418">
        <v>12000</v>
      </c>
      <c r="L1472" s="538">
        <v>12180</v>
      </c>
      <c r="M1472" s="538">
        <v>12180</v>
      </c>
      <c r="N1472" s="538">
        <v>0</v>
      </c>
      <c r="O1472" s="931">
        <v>0</v>
      </c>
      <c r="P1472" s="777" t="s">
        <v>286</v>
      </c>
      <c r="Q1472" s="198" t="s">
        <v>286</v>
      </c>
    </row>
    <row r="1473" spans="1:18" s="198" customFormat="1" ht="70.95" customHeight="1">
      <c r="A1473" s="492"/>
      <c r="B1473" s="204"/>
      <c r="C1473" s="203">
        <v>2</v>
      </c>
      <c r="D1473" s="211"/>
      <c r="E1473" s="210" t="s">
        <v>28</v>
      </c>
      <c r="F1473" s="209"/>
      <c r="G1473" s="209"/>
      <c r="H1473" s="209"/>
      <c r="I1473" s="209"/>
      <c r="J1473" s="209"/>
      <c r="K1473" s="209">
        <v>6000</v>
      </c>
      <c r="L1473" s="456">
        <v>6000</v>
      </c>
      <c r="M1473" s="456">
        <v>6000</v>
      </c>
      <c r="N1473" s="456">
        <v>3000</v>
      </c>
      <c r="O1473" s="871">
        <f>N1473/M1473</f>
        <v>0.5</v>
      </c>
      <c r="P1473" s="777" t="s">
        <v>286</v>
      </c>
      <c r="Q1473" s="198" t="s">
        <v>286</v>
      </c>
    </row>
    <row r="1474" spans="1:18" s="435" customFormat="1" ht="76.2" customHeight="1">
      <c r="A1474" s="705"/>
      <c r="B1474" s="710"/>
      <c r="C1474" s="1142">
        <v>3</v>
      </c>
      <c r="D1474" s="572"/>
      <c r="E1474" s="569" t="s">
        <v>736</v>
      </c>
      <c r="F1474" s="563"/>
      <c r="G1474" s="1143"/>
      <c r="H1474" s="563"/>
      <c r="I1474" s="1143"/>
      <c r="J1474" s="563"/>
      <c r="K1474" s="1144">
        <v>71000</v>
      </c>
      <c r="L1474" s="563">
        <v>0</v>
      </c>
      <c r="M1474" s="563">
        <v>500</v>
      </c>
      <c r="N1474" s="563">
        <v>0</v>
      </c>
      <c r="O1474" s="872">
        <v>0</v>
      </c>
      <c r="P1474" s="823" t="s">
        <v>286</v>
      </c>
      <c r="Q1474" s="776" t="s">
        <v>286</v>
      </c>
    </row>
    <row r="1475" spans="1:18" s="198" customFormat="1" ht="70.95" customHeight="1">
      <c r="A1475" s="201">
        <v>15</v>
      </c>
      <c r="B1475" s="85">
        <v>853</v>
      </c>
      <c r="C1475" s="84"/>
      <c r="D1475" s="200"/>
      <c r="E1475" s="199" t="s">
        <v>293</v>
      </c>
      <c r="F1475" s="81">
        <f>F1476</f>
        <v>0</v>
      </c>
      <c r="G1475" s="81">
        <f t="shared" ref="G1475:K1475" si="198">G1476</f>
        <v>0</v>
      </c>
      <c r="H1475" s="81">
        <f t="shared" si="198"/>
        <v>318287.39</v>
      </c>
      <c r="I1475" s="81">
        <f t="shared" si="198"/>
        <v>0</v>
      </c>
      <c r="J1475" s="81">
        <f t="shared" si="198"/>
        <v>0</v>
      </c>
      <c r="K1475" s="81">
        <f t="shared" si="198"/>
        <v>19020</v>
      </c>
      <c r="L1475" s="80">
        <f>SUM(F1475:K1475)</f>
        <v>337307.39</v>
      </c>
      <c r="M1475" s="80">
        <f>M1476</f>
        <v>377020</v>
      </c>
      <c r="N1475" s="80">
        <f>N1476</f>
        <v>357707.74</v>
      </c>
      <c r="O1475" s="867">
        <f>N1475/M1475</f>
        <v>0.94877656357752904</v>
      </c>
      <c r="P1475" s="777" t="s">
        <v>286</v>
      </c>
    </row>
    <row r="1476" spans="1:18" s="435" customFormat="1" ht="64.5" customHeight="1">
      <c r="A1476" s="492"/>
      <c r="B1476" s="78">
        <v>85395</v>
      </c>
      <c r="C1476" s="77"/>
      <c r="D1476" s="181"/>
      <c r="E1476" s="180" t="s">
        <v>8</v>
      </c>
      <c r="F1476" s="414">
        <f>F1477+F1481</f>
        <v>0</v>
      </c>
      <c r="G1476" s="414">
        <f t="shared" ref="G1476:K1476" si="199">G1477+G1481</f>
        <v>0</v>
      </c>
      <c r="H1476" s="414">
        <f t="shared" si="199"/>
        <v>318287.39</v>
      </c>
      <c r="I1476" s="414">
        <f t="shared" si="199"/>
        <v>0</v>
      </c>
      <c r="J1476" s="414">
        <f t="shared" si="199"/>
        <v>0</v>
      </c>
      <c r="K1476" s="414">
        <f t="shared" si="199"/>
        <v>19020</v>
      </c>
      <c r="L1476" s="95">
        <f t="shared" ref="L1476" si="200">SUM(F1476:K1476)</f>
        <v>337307.39</v>
      </c>
      <c r="M1476" s="95">
        <f>M1477+M1481</f>
        <v>377020</v>
      </c>
      <c r="N1476" s="95">
        <f>N1477+N1481</f>
        <v>357707.74</v>
      </c>
      <c r="O1476" s="868">
        <f>N1476/M1476</f>
        <v>0.94877656357752904</v>
      </c>
      <c r="P1476" s="776" t="s">
        <v>286</v>
      </c>
    </row>
    <row r="1477" spans="1:18" s="198" customFormat="1" ht="86.25" customHeight="1">
      <c r="A1477" s="492"/>
      <c r="B1477" s="204"/>
      <c r="C1477" s="214">
        <v>1</v>
      </c>
      <c r="D1477" s="213"/>
      <c r="E1477" s="212" t="s">
        <v>407</v>
      </c>
      <c r="F1477" s="419"/>
      <c r="G1477" s="418"/>
      <c r="H1477" s="418"/>
      <c r="I1477" s="418"/>
      <c r="J1477" s="418"/>
      <c r="K1477" s="418">
        <v>19020</v>
      </c>
      <c r="L1477" s="423">
        <f t="shared" ref="L1477" si="201">SUM(F1477:K1477)</f>
        <v>19020</v>
      </c>
      <c r="M1477" s="423">
        <f>M1479+M1480</f>
        <v>23063.21</v>
      </c>
      <c r="N1477" s="423">
        <f>N1479+N1480</f>
        <v>3750.95</v>
      </c>
      <c r="O1477" s="883">
        <f>N1477/M1477</f>
        <v>0.16263781147550579</v>
      </c>
      <c r="P1477" s="777" t="s">
        <v>286</v>
      </c>
    </row>
    <row r="1478" spans="1:18" s="434" customFormat="1" ht="38.1" customHeight="1">
      <c r="A1478" s="433"/>
      <c r="B1478" s="427"/>
      <c r="C1478" s="463"/>
      <c r="D1478" s="448"/>
      <c r="E1478" s="440" t="s">
        <v>21</v>
      </c>
      <c r="F1478" s="417"/>
      <c r="G1478" s="471"/>
      <c r="H1478" s="417"/>
      <c r="I1478" s="471"/>
      <c r="J1478" s="417"/>
      <c r="K1478" s="471"/>
      <c r="L1478" s="417"/>
      <c r="M1478" s="417"/>
      <c r="N1478" s="417"/>
      <c r="O1478" s="878"/>
      <c r="P1478" s="776"/>
    </row>
    <row r="1479" spans="1:18" s="629" customFormat="1" ht="39.75" customHeight="1">
      <c r="A1479" s="493"/>
      <c r="B1479" s="792"/>
      <c r="C1479" s="627"/>
      <c r="D1479" s="628"/>
      <c r="E1479" s="730" t="s">
        <v>287</v>
      </c>
      <c r="F1479" s="421"/>
      <c r="G1479" s="702"/>
      <c r="H1479" s="421"/>
      <c r="I1479" s="702"/>
      <c r="J1479" s="421"/>
      <c r="K1479" s="702">
        <f>10500+1800+220</f>
        <v>12520</v>
      </c>
      <c r="L1479" s="421">
        <f t="shared" ref="L1479:L1480" si="202">F1479+G1479+H1479+I1479+J1479+K1479</f>
        <v>12520</v>
      </c>
      <c r="M1479" s="421">
        <v>15520</v>
      </c>
      <c r="N1479" s="421">
        <v>3000</v>
      </c>
      <c r="O1479" s="903">
        <f>N1479/M1479</f>
        <v>0.19329896907216496</v>
      </c>
      <c r="P1479" s="784" t="s">
        <v>286</v>
      </c>
    </row>
    <row r="1480" spans="1:18" s="629" customFormat="1" ht="39.75" customHeight="1">
      <c r="A1480" s="493"/>
      <c r="B1480" s="792"/>
      <c r="C1480" s="627"/>
      <c r="D1480" s="628"/>
      <c r="E1480" s="730" t="s">
        <v>333</v>
      </c>
      <c r="F1480" s="421"/>
      <c r="G1480" s="702"/>
      <c r="H1480" s="421"/>
      <c r="I1480" s="702"/>
      <c r="J1480" s="421"/>
      <c r="K1480" s="702">
        <f>3000+1000+2500</f>
        <v>6500</v>
      </c>
      <c r="L1480" s="421">
        <f t="shared" si="202"/>
        <v>6500</v>
      </c>
      <c r="M1480" s="421">
        <v>7543.21</v>
      </c>
      <c r="N1480" s="421">
        <v>750.95</v>
      </c>
      <c r="O1480" s="903">
        <f>N1480/M1480</f>
        <v>9.9553108026954051E-2</v>
      </c>
      <c r="P1480" s="784" t="s">
        <v>286</v>
      </c>
    </row>
    <row r="1481" spans="1:18" s="198" customFormat="1" ht="115.2" customHeight="1">
      <c r="A1481" s="492"/>
      <c r="B1481" s="204"/>
      <c r="C1481" s="571">
        <v>2</v>
      </c>
      <c r="D1481" s="572"/>
      <c r="E1481" s="569" t="s">
        <v>331</v>
      </c>
      <c r="F1481" s="564"/>
      <c r="G1481" s="563"/>
      <c r="H1481" s="563">
        <v>318287.39</v>
      </c>
      <c r="I1481" s="563"/>
      <c r="J1481" s="563"/>
      <c r="K1481" s="563">
        <f>K1483</f>
        <v>0</v>
      </c>
      <c r="L1481" s="563">
        <f>SUM(F1481:K1481)</f>
        <v>318287.39</v>
      </c>
      <c r="M1481" s="563">
        <v>353956.79</v>
      </c>
      <c r="N1481" s="563">
        <v>353956.79</v>
      </c>
      <c r="O1481" s="872">
        <f>N1481/M1481</f>
        <v>1</v>
      </c>
      <c r="P1481" s="777" t="s">
        <v>286</v>
      </c>
    </row>
    <row r="1482" spans="1:18" s="629" customFormat="1" ht="39.75" customHeight="1">
      <c r="A1482" s="691"/>
      <c r="B1482" s="804"/>
      <c r="C1482" s="757"/>
      <c r="D1482" s="754"/>
      <c r="E1482" s="226" t="s">
        <v>16</v>
      </c>
      <c r="F1482" s="706"/>
      <c r="G1482" s="706"/>
      <c r="H1482" s="706"/>
      <c r="I1482" s="706"/>
      <c r="J1482" s="706"/>
      <c r="K1482" s="706"/>
      <c r="L1482" s="666"/>
      <c r="M1482" s="666"/>
      <c r="N1482" s="666"/>
      <c r="O1482" s="874"/>
      <c r="P1482" s="784"/>
    </row>
    <row r="1483" spans="1:18" s="629" customFormat="1" ht="63.75" customHeight="1">
      <c r="A1483" s="691"/>
      <c r="B1483" s="804"/>
      <c r="C1483" s="799"/>
      <c r="D1483" s="800"/>
      <c r="E1483" s="801" t="s">
        <v>384</v>
      </c>
      <c r="F1483" s="731"/>
      <c r="G1483" s="731"/>
      <c r="H1483" s="731"/>
      <c r="I1483" s="731"/>
      <c r="J1483" s="731"/>
      <c r="K1483" s="731"/>
      <c r="L1483" s="656"/>
      <c r="M1483" s="656"/>
      <c r="N1483" s="656"/>
      <c r="O1483" s="873"/>
      <c r="P1483" s="784"/>
    </row>
    <row r="1484" spans="1:18" s="198" customFormat="1" ht="51" customHeight="1">
      <c r="A1484" s="201">
        <v>16</v>
      </c>
      <c r="B1484" s="85">
        <v>854</v>
      </c>
      <c r="C1484" s="84"/>
      <c r="D1484" s="200"/>
      <c r="E1484" s="199" t="s">
        <v>27</v>
      </c>
      <c r="F1484" s="81">
        <f t="shared" ref="F1484:L1484" si="203">F1485+F1573</f>
        <v>0</v>
      </c>
      <c r="G1484" s="81">
        <f t="shared" si="203"/>
        <v>0</v>
      </c>
      <c r="H1484" s="81">
        <f t="shared" si="203"/>
        <v>0</v>
      </c>
      <c r="I1484" s="81">
        <f t="shared" si="203"/>
        <v>0</v>
      </c>
      <c r="J1484" s="81">
        <f t="shared" si="203"/>
        <v>0</v>
      </c>
      <c r="K1484" s="81">
        <f t="shared" si="203"/>
        <v>1803200</v>
      </c>
      <c r="L1484" s="80">
        <f t="shared" si="203"/>
        <v>1803200</v>
      </c>
      <c r="M1484" s="80">
        <f>M1485+M1573+M1577</f>
        <v>1855900</v>
      </c>
      <c r="N1484" s="80">
        <f>N1485+N1573+N1577</f>
        <v>905246.6</v>
      </c>
      <c r="O1484" s="867">
        <f>N1484/M1484</f>
        <v>0.48776690554447977</v>
      </c>
      <c r="P1484" s="777" t="s">
        <v>286</v>
      </c>
    </row>
    <row r="1485" spans="1:18" s="179" customFormat="1" ht="51" customHeight="1">
      <c r="A1485" s="433"/>
      <c r="B1485" s="177" t="s">
        <v>26</v>
      </c>
      <c r="C1485" s="176"/>
      <c r="D1485" s="197"/>
      <c r="E1485" s="196" t="s">
        <v>25</v>
      </c>
      <c r="F1485" s="414">
        <f t="shared" ref="F1485:J1485" si="204">F1486</f>
        <v>0</v>
      </c>
      <c r="G1485" s="95">
        <f t="shared" si="204"/>
        <v>0</v>
      </c>
      <c r="H1485" s="95">
        <f t="shared" si="204"/>
        <v>0</v>
      </c>
      <c r="I1485" s="95">
        <f t="shared" si="204"/>
        <v>0</v>
      </c>
      <c r="J1485" s="95">
        <f t="shared" si="204"/>
        <v>0</v>
      </c>
      <c r="K1485" s="95">
        <f>K1486</f>
        <v>1683000</v>
      </c>
      <c r="L1485" s="95">
        <f t="shared" si="197"/>
        <v>1683000</v>
      </c>
      <c r="M1485" s="95">
        <f>M1486</f>
        <v>1683000</v>
      </c>
      <c r="N1485" s="95">
        <f>N1486</f>
        <v>781200.73</v>
      </c>
      <c r="O1485" s="868">
        <f>N1485/M1485</f>
        <v>0.4641715567439097</v>
      </c>
      <c r="P1485" s="782" t="s">
        <v>286</v>
      </c>
    </row>
    <row r="1486" spans="1:18" s="191" customFormat="1" ht="39.9" customHeight="1">
      <c r="A1486" s="642"/>
      <c r="B1486" s="178"/>
      <c r="C1486" s="195" t="s">
        <v>24</v>
      </c>
      <c r="D1486" s="194"/>
      <c r="E1486" s="193" t="s">
        <v>23</v>
      </c>
      <c r="F1486" s="192"/>
      <c r="G1486" s="192"/>
      <c r="H1486" s="192"/>
      <c r="I1486" s="192"/>
      <c r="J1486" s="192"/>
      <c r="K1486" s="436">
        <f>K1487+K1530</f>
        <v>1683000</v>
      </c>
      <c r="L1486" s="436">
        <f t="shared" si="197"/>
        <v>1683000</v>
      </c>
      <c r="M1486" s="436">
        <f>M1487+M1530</f>
        <v>1683000</v>
      </c>
      <c r="N1486" s="436">
        <f>N1487+N1530</f>
        <v>781200.73</v>
      </c>
      <c r="O1486" s="908">
        <f>N1486/M1486</f>
        <v>0.4641715567439097</v>
      </c>
      <c r="P1486" s="776" t="s">
        <v>286</v>
      </c>
    </row>
    <row r="1487" spans="1:18" s="186" customFormat="1" ht="41.25" customHeight="1">
      <c r="A1487" s="642"/>
      <c r="B1487" s="424"/>
      <c r="C1487" s="399">
        <v>1</v>
      </c>
      <c r="D1487" s="447"/>
      <c r="E1487" s="695" t="s">
        <v>192</v>
      </c>
      <c r="F1487" s="400"/>
      <c r="G1487" s="425"/>
      <c r="H1487" s="425"/>
      <c r="I1487" s="425"/>
      <c r="J1487" s="425"/>
      <c r="K1487" s="425">
        <f>962000+5034+36231+735</f>
        <v>1004000</v>
      </c>
      <c r="L1487" s="425">
        <f>L1488+L1507+L1529</f>
        <v>1004000</v>
      </c>
      <c r="M1487" s="425">
        <f t="shared" ref="M1487:N1487" si="205">M1488+M1507+M1529</f>
        <v>1004000</v>
      </c>
      <c r="N1487" s="425">
        <f t="shared" si="205"/>
        <v>465771.69</v>
      </c>
      <c r="O1487" s="889">
        <f>N1487/M1487</f>
        <v>0.46391602589641434</v>
      </c>
      <c r="P1487" s="786" t="s">
        <v>286</v>
      </c>
    </row>
    <row r="1488" spans="1:18" s="435" customFormat="1" ht="39.9" customHeight="1">
      <c r="A1488" s="705"/>
      <c r="B1488" s="949"/>
      <c r="C1488" s="463"/>
      <c r="D1488" s="448"/>
      <c r="E1488" s="950" t="s">
        <v>435</v>
      </c>
      <c r="F1488" s="951"/>
      <c r="G1488" s="952"/>
      <c r="H1488" s="952"/>
      <c r="I1488" s="952"/>
      <c r="J1488" s="953"/>
      <c r="K1488" s="954"/>
      <c r="L1488" s="955">
        <v>962000</v>
      </c>
      <c r="M1488" s="955">
        <v>963103</v>
      </c>
      <c r="N1488" s="956">
        <f>SUM(N1490:N1506)</f>
        <v>439073.69</v>
      </c>
      <c r="O1488" s="932">
        <f>N1488/M1488</f>
        <v>0.45589484198470986</v>
      </c>
      <c r="P1488" s="957" t="s">
        <v>286</v>
      </c>
      <c r="Q1488" s="823"/>
      <c r="R1488" s="958"/>
    </row>
    <row r="1489" spans="1:18" s="444" customFormat="1" ht="34.5" customHeight="1">
      <c r="A1489" s="672"/>
      <c r="B1489" s="673"/>
      <c r="C1489" s="454"/>
      <c r="D1489" s="442"/>
      <c r="E1489" s="959" t="s">
        <v>16</v>
      </c>
      <c r="F1489" s="703"/>
      <c r="G1489" s="704"/>
      <c r="H1489" s="704"/>
      <c r="I1489" s="704"/>
      <c r="J1489" s="704"/>
      <c r="K1489" s="389"/>
      <c r="L1489" s="666"/>
      <c r="M1489" s="666"/>
      <c r="N1489" s="666"/>
      <c r="O1489" s="874"/>
      <c r="P1489" s="960"/>
      <c r="Q1489" s="822"/>
      <c r="R1489" s="961"/>
    </row>
    <row r="1490" spans="1:18" s="444" customFormat="1" ht="36" customHeight="1">
      <c r="A1490" s="672"/>
      <c r="B1490" s="673"/>
      <c r="C1490" s="454"/>
      <c r="D1490" s="429"/>
      <c r="E1490" s="962" t="s">
        <v>600</v>
      </c>
      <c r="F1490" s="703"/>
      <c r="G1490" s="704"/>
      <c r="H1490" s="704"/>
      <c r="I1490" s="704"/>
      <c r="J1490" s="704"/>
      <c r="K1490" s="389"/>
      <c r="L1490" s="963"/>
      <c r="M1490" s="963"/>
      <c r="N1490" s="964">
        <v>306988.06</v>
      </c>
      <c r="O1490" s="874"/>
      <c r="P1490" s="960"/>
      <c r="Q1490" s="822"/>
      <c r="R1490" s="961"/>
    </row>
    <row r="1491" spans="1:18" s="444" customFormat="1" ht="57" customHeight="1">
      <c r="A1491" s="672"/>
      <c r="B1491" s="673"/>
      <c r="C1491" s="454"/>
      <c r="D1491" s="442"/>
      <c r="E1491" s="962" t="s">
        <v>469</v>
      </c>
      <c r="F1491" s="703"/>
      <c r="G1491" s="704"/>
      <c r="H1491" s="704"/>
      <c r="I1491" s="704"/>
      <c r="J1491" s="704"/>
      <c r="K1491" s="389"/>
      <c r="L1491" s="963"/>
      <c r="M1491" s="963"/>
      <c r="N1491" s="964">
        <v>0</v>
      </c>
      <c r="O1491" s="874"/>
      <c r="P1491" s="960"/>
      <c r="Q1491" s="822"/>
      <c r="R1491" s="961"/>
    </row>
    <row r="1492" spans="1:18" s="444" customFormat="1" ht="58.5" customHeight="1">
      <c r="A1492" s="672"/>
      <c r="B1492" s="673"/>
      <c r="C1492" s="454"/>
      <c r="D1492" s="442"/>
      <c r="E1492" s="962" t="s">
        <v>601</v>
      </c>
      <c r="F1492" s="703"/>
      <c r="G1492" s="704"/>
      <c r="H1492" s="704"/>
      <c r="I1492" s="704"/>
      <c r="J1492" s="704"/>
      <c r="K1492" s="389"/>
      <c r="L1492" s="963"/>
      <c r="M1492" s="963"/>
      <c r="N1492" s="964">
        <v>5602.74</v>
      </c>
      <c r="O1492" s="874"/>
      <c r="P1492" s="960"/>
      <c r="Q1492" s="822"/>
      <c r="R1492" s="961"/>
    </row>
    <row r="1493" spans="1:18" s="444" customFormat="1" ht="36" customHeight="1">
      <c r="A1493" s="672"/>
      <c r="B1493" s="673"/>
      <c r="C1493" s="454"/>
      <c r="D1493" s="442"/>
      <c r="E1493" s="962" t="s">
        <v>602</v>
      </c>
      <c r="F1493" s="703"/>
      <c r="G1493" s="704"/>
      <c r="H1493" s="704"/>
      <c r="I1493" s="704"/>
      <c r="J1493" s="704"/>
      <c r="K1493" s="389"/>
      <c r="L1493" s="963"/>
      <c r="M1493" s="963"/>
      <c r="N1493" s="964">
        <v>3986.7</v>
      </c>
      <c r="O1493" s="874"/>
      <c r="P1493" s="960"/>
      <c r="Q1493" s="822"/>
      <c r="R1493" s="961"/>
    </row>
    <row r="1494" spans="1:18" s="444" customFormat="1" ht="36" customHeight="1">
      <c r="A1494" s="672"/>
      <c r="B1494" s="673"/>
      <c r="C1494" s="454"/>
      <c r="D1494" s="442"/>
      <c r="E1494" s="962" t="s">
        <v>603</v>
      </c>
      <c r="F1494" s="703"/>
      <c r="G1494" s="704"/>
      <c r="H1494" s="704"/>
      <c r="I1494" s="704"/>
      <c r="J1494" s="704"/>
      <c r="K1494" s="389"/>
      <c r="L1494" s="963"/>
      <c r="M1494" s="963"/>
      <c r="N1494" s="964">
        <v>4072.53</v>
      </c>
      <c r="O1494" s="874"/>
      <c r="P1494" s="960"/>
      <c r="Q1494" s="822"/>
      <c r="R1494" s="961"/>
    </row>
    <row r="1495" spans="1:18" s="444" customFormat="1" ht="36" customHeight="1">
      <c r="A1495" s="672"/>
      <c r="B1495" s="673"/>
      <c r="C1495" s="454"/>
      <c r="D1495" s="442"/>
      <c r="E1495" s="962" t="s">
        <v>437</v>
      </c>
      <c r="F1495" s="703"/>
      <c r="G1495" s="704"/>
      <c r="H1495" s="704"/>
      <c r="I1495" s="704"/>
      <c r="J1495" s="704"/>
      <c r="K1495" s="389"/>
      <c r="L1495" s="963"/>
      <c r="M1495" s="963"/>
      <c r="N1495" s="964">
        <v>0</v>
      </c>
      <c r="O1495" s="874"/>
      <c r="P1495" s="960"/>
      <c r="Q1495" s="822"/>
      <c r="R1495" s="961"/>
    </row>
    <row r="1496" spans="1:18" s="444" customFormat="1" ht="36" customHeight="1">
      <c r="A1496" s="672"/>
      <c r="B1496" s="673"/>
      <c r="C1496" s="454"/>
      <c r="D1496" s="442"/>
      <c r="E1496" s="962" t="s">
        <v>438</v>
      </c>
      <c r="F1496" s="703"/>
      <c r="G1496" s="704"/>
      <c r="H1496" s="704"/>
      <c r="I1496" s="704"/>
      <c r="J1496" s="704"/>
      <c r="K1496" s="389"/>
      <c r="L1496" s="963"/>
      <c r="M1496" s="963"/>
      <c r="N1496" s="964">
        <v>0</v>
      </c>
      <c r="O1496" s="874"/>
      <c r="P1496" s="960"/>
      <c r="Q1496" s="822"/>
      <c r="R1496" s="961"/>
    </row>
    <row r="1497" spans="1:18" s="444" customFormat="1" ht="36" customHeight="1">
      <c r="A1497" s="672"/>
      <c r="B1497" s="673"/>
      <c r="C1497" s="454"/>
      <c r="D1497" s="442"/>
      <c r="E1497" s="962" t="s">
        <v>598</v>
      </c>
      <c r="F1497" s="703"/>
      <c r="G1497" s="704"/>
      <c r="H1497" s="704"/>
      <c r="I1497" s="704"/>
      <c r="J1497" s="704"/>
      <c r="K1497" s="389"/>
      <c r="L1497" s="963"/>
      <c r="M1497" s="963"/>
      <c r="N1497" s="964">
        <v>0</v>
      </c>
      <c r="O1497" s="874"/>
      <c r="P1497" s="960"/>
      <c r="Q1497" s="822"/>
      <c r="R1497" s="961"/>
    </row>
    <row r="1498" spans="1:18" s="444" customFormat="1" ht="36" customHeight="1">
      <c r="A1498" s="672"/>
      <c r="B1498" s="673"/>
      <c r="C1498" s="454"/>
      <c r="D1498" s="442"/>
      <c r="E1498" s="962" t="s">
        <v>439</v>
      </c>
      <c r="F1498" s="703"/>
      <c r="G1498" s="704"/>
      <c r="H1498" s="704"/>
      <c r="I1498" s="704"/>
      <c r="J1498" s="704"/>
      <c r="K1498" s="389"/>
      <c r="L1498" s="963"/>
      <c r="M1498" s="963"/>
      <c r="N1498" s="964">
        <v>0</v>
      </c>
      <c r="O1498" s="874"/>
      <c r="P1498" s="960"/>
      <c r="Q1498" s="822"/>
      <c r="R1498" s="961"/>
    </row>
    <row r="1499" spans="1:18" s="444" customFormat="1" ht="36" customHeight="1">
      <c r="A1499" s="672"/>
      <c r="B1499" s="673"/>
      <c r="C1499" s="454"/>
      <c r="D1499" s="442"/>
      <c r="E1499" s="962" t="s">
        <v>440</v>
      </c>
      <c r="F1499" s="703"/>
      <c r="G1499" s="704"/>
      <c r="H1499" s="704"/>
      <c r="I1499" s="704"/>
      <c r="J1499" s="704"/>
      <c r="K1499" s="389"/>
      <c r="L1499" s="963"/>
      <c r="M1499" s="963"/>
      <c r="N1499" s="964">
        <v>0</v>
      </c>
      <c r="O1499" s="874"/>
      <c r="P1499" s="960"/>
      <c r="Q1499" s="822"/>
      <c r="R1499" s="961"/>
    </row>
    <row r="1500" spans="1:18" s="444" customFormat="1" ht="59.25" customHeight="1">
      <c r="A1500" s="672"/>
      <c r="B1500" s="673"/>
      <c r="C1500" s="454"/>
      <c r="D1500" s="442"/>
      <c r="E1500" s="962" t="s">
        <v>604</v>
      </c>
      <c r="F1500" s="703"/>
      <c r="G1500" s="704"/>
      <c r="H1500" s="704"/>
      <c r="I1500" s="704"/>
      <c r="J1500" s="704"/>
      <c r="K1500" s="389"/>
      <c r="L1500" s="963"/>
      <c r="M1500" s="963"/>
      <c r="N1500" s="964">
        <v>5210.47</v>
      </c>
      <c r="O1500" s="874"/>
      <c r="P1500" s="960"/>
      <c r="Q1500" s="822"/>
      <c r="R1500" s="961"/>
    </row>
    <row r="1501" spans="1:18" s="444" customFormat="1" ht="57" customHeight="1">
      <c r="A1501" s="672"/>
      <c r="B1501" s="673"/>
      <c r="C1501" s="454"/>
      <c r="D1501" s="442"/>
      <c r="E1501" s="962" t="s">
        <v>599</v>
      </c>
      <c r="F1501" s="703"/>
      <c r="G1501" s="704"/>
      <c r="H1501" s="704"/>
      <c r="I1501" s="704"/>
      <c r="J1501" s="704"/>
      <c r="K1501" s="389"/>
      <c r="L1501" s="963"/>
      <c r="M1501" s="963"/>
      <c r="N1501" s="964">
        <v>0</v>
      </c>
      <c r="O1501" s="874"/>
      <c r="P1501" s="960"/>
      <c r="Q1501" s="822"/>
      <c r="R1501" s="961"/>
    </row>
    <row r="1502" spans="1:18" s="444" customFormat="1" ht="36" customHeight="1">
      <c r="A1502" s="672"/>
      <c r="B1502" s="673"/>
      <c r="C1502" s="454"/>
      <c r="D1502" s="442"/>
      <c r="E1502" s="962" t="s">
        <v>442</v>
      </c>
      <c r="F1502" s="703"/>
      <c r="G1502" s="704"/>
      <c r="H1502" s="704"/>
      <c r="I1502" s="704"/>
      <c r="J1502" s="704"/>
      <c r="K1502" s="389"/>
      <c r="L1502" s="963"/>
      <c r="M1502" s="963"/>
      <c r="N1502" s="964">
        <v>0</v>
      </c>
      <c r="O1502" s="874"/>
      <c r="P1502" s="960"/>
      <c r="Q1502" s="822"/>
      <c r="R1502" s="961"/>
    </row>
    <row r="1503" spans="1:18" s="444" customFormat="1" ht="36" customHeight="1">
      <c r="A1503" s="672"/>
      <c r="B1503" s="673"/>
      <c r="C1503" s="454"/>
      <c r="D1503" s="442"/>
      <c r="E1503" s="962" t="s">
        <v>443</v>
      </c>
      <c r="F1503" s="703"/>
      <c r="G1503" s="704"/>
      <c r="H1503" s="704"/>
      <c r="I1503" s="704"/>
      <c r="J1503" s="704"/>
      <c r="K1503" s="389"/>
      <c r="L1503" s="963"/>
      <c r="M1503" s="963"/>
      <c r="N1503" s="964">
        <v>43360.39</v>
      </c>
      <c r="O1503" s="874"/>
      <c r="P1503" s="960"/>
      <c r="Q1503" s="822"/>
      <c r="R1503" s="961"/>
    </row>
    <row r="1504" spans="1:18" s="444" customFormat="1" ht="36" customHeight="1">
      <c r="A1504" s="672"/>
      <c r="B1504" s="673"/>
      <c r="C1504" s="454"/>
      <c r="D1504" s="442"/>
      <c r="E1504" s="962" t="s">
        <v>482</v>
      </c>
      <c r="F1504" s="703"/>
      <c r="G1504" s="704"/>
      <c r="H1504" s="704"/>
      <c r="I1504" s="704"/>
      <c r="J1504" s="704"/>
      <c r="K1504" s="389"/>
      <c r="L1504" s="963"/>
      <c r="M1504" s="963"/>
      <c r="N1504" s="964">
        <v>0</v>
      </c>
      <c r="O1504" s="874"/>
      <c r="P1504" s="960"/>
      <c r="Q1504" s="822"/>
      <c r="R1504" s="961"/>
    </row>
    <row r="1505" spans="1:18" s="444" customFormat="1" ht="36" customHeight="1">
      <c r="A1505" s="672"/>
      <c r="B1505" s="673"/>
      <c r="C1505" s="454"/>
      <c r="D1505" s="442"/>
      <c r="E1505" s="962" t="s">
        <v>485</v>
      </c>
      <c r="F1505" s="703"/>
      <c r="G1505" s="704"/>
      <c r="H1505" s="704"/>
      <c r="I1505" s="704"/>
      <c r="J1505" s="704"/>
      <c r="K1505" s="389"/>
      <c r="L1505" s="963"/>
      <c r="M1505" s="963"/>
      <c r="N1505" s="964">
        <v>0</v>
      </c>
      <c r="O1505" s="874"/>
      <c r="P1505" s="960"/>
      <c r="Q1505" s="822"/>
      <c r="R1505" s="961"/>
    </row>
    <row r="1506" spans="1:18" s="444" customFormat="1" ht="36" customHeight="1">
      <c r="A1506" s="672"/>
      <c r="B1506" s="673"/>
      <c r="C1506" s="454"/>
      <c r="D1506" s="442"/>
      <c r="E1506" s="962" t="s">
        <v>445</v>
      </c>
      <c r="F1506" s="703"/>
      <c r="G1506" s="704"/>
      <c r="H1506" s="704"/>
      <c r="I1506" s="704"/>
      <c r="J1506" s="704"/>
      <c r="K1506" s="389"/>
      <c r="L1506" s="963"/>
      <c r="M1506" s="963"/>
      <c r="N1506" s="964">
        <v>69852.800000000003</v>
      </c>
      <c r="O1506" s="874"/>
      <c r="P1506" s="960"/>
      <c r="Q1506" s="822"/>
      <c r="R1506" s="961"/>
    </row>
    <row r="1507" spans="1:18" s="444" customFormat="1" ht="57" customHeight="1">
      <c r="A1507" s="672"/>
      <c r="B1507" s="673"/>
      <c r="C1507" s="965"/>
      <c r="D1507" s="442"/>
      <c r="E1507" s="950" t="s">
        <v>446</v>
      </c>
      <c r="F1507" s="955">
        <v>117300</v>
      </c>
      <c r="G1507" s="955">
        <v>111778</v>
      </c>
      <c r="H1507" s="955">
        <v>74715.13</v>
      </c>
      <c r="I1507" s="704"/>
      <c r="J1507" s="704"/>
      <c r="K1507" s="532"/>
      <c r="L1507" s="955">
        <v>42000</v>
      </c>
      <c r="M1507" s="955">
        <v>40897</v>
      </c>
      <c r="N1507" s="956">
        <f>SUM(N1508:N1528)</f>
        <v>26698</v>
      </c>
      <c r="O1507" s="932">
        <f>N1507/M1507</f>
        <v>0.65281071961268555</v>
      </c>
      <c r="P1507" s="960" t="s">
        <v>286</v>
      </c>
      <c r="Q1507" s="822"/>
      <c r="R1507" s="961"/>
    </row>
    <row r="1508" spans="1:18" s="444" customFormat="1" ht="78.75" customHeight="1">
      <c r="A1508" s="672"/>
      <c r="B1508" s="673"/>
      <c r="C1508" s="454"/>
      <c r="D1508" s="442"/>
      <c r="E1508" s="966" t="s">
        <v>447</v>
      </c>
      <c r="F1508" s="967"/>
      <c r="G1508" s="967"/>
      <c r="H1508" s="967">
        <v>0</v>
      </c>
      <c r="I1508" s="704"/>
      <c r="J1508" s="704"/>
      <c r="K1508" s="532"/>
      <c r="L1508" s="967"/>
      <c r="M1508" s="967"/>
      <c r="N1508" s="968">
        <v>0</v>
      </c>
      <c r="O1508" s="874"/>
      <c r="P1508" s="960"/>
      <c r="Q1508" s="822"/>
      <c r="R1508" s="961"/>
    </row>
    <row r="1509" spans="1:18" s="444" customFormat="1" ht="36" customHeight="1">
      <c r="A1509" s="672"/>
      <c r="B1509" s="673"/>
      <c r="C1509" s="454"/>
      <c r="D1509" s="442"/>
      <c r="E1509" s="966" t="s">
        <v>448</v>
      </c>
      <c r="F1509" s="967"/>
      <c r="G1509" s="967"/>
      <c r="H1509" s="967">
        <v>0</v>
      </c>
      <c r="I1509" s="704"/>
      <c r="J1509" s="704"/>
      <c r="K1509" s="532"/>
      <c r="L1509" s="967"/>
      <c r="M1509" s="967"/>
      <c r="N1509" s="968">
        <v>0</v>
      </c>
      <c r="O1509" s="874"/>
      <c r="P1509" s="960"/>
      <c r="Q1509" s="822"/>
      <c r="R1509" s="961"/>
    </row>
    <row r="1510" spans="1:18" s="444" customFormat="1" ht="36" customHeight="1">
      <c r="A1510" s="672"/>
      <c r="B1510" s="673"/>
      <c r="C1510" s="454"/>
      <c r="D1510" s="442"/>
      <c r="E1510" s="966" t="s">
        <v>449</v>
      </c>
      <c r="F1510" s="967"/>
      <c r="G1510" s="967"/>
      <c r="H1510" s="967">
        <v>0</v>
      </c>
      <c r="I1510" s="704"/>
      <c r="J1510" s="704"/>
      <c r="K1510" s="532"/>
      <c r="L1510" s="967"/>
      <c r="M1510" s="967"/>
      <c r="N1510" s="968">
        <v>0</v>
      </c>
      <c r="O1510" s="874"/>
      <c r="P1510" s="960"/>
      <c r="Q1510" s="822"/>
      <c r="R1510" s="961"/>
    </row>
    <row r="1511" spans="1:18" s="444" customFormat="1" ht="36" customHeight="1">
      <c r="A1511" s="672"/>
      <c r="B1511" s="673"/>
      <c r="C1511" s="454"/>
      <c r="D1511" s="442"/>
      <c r="E1511" s="966" t="s">
        <v>450</v>
      </c>
      <c r="F1511" s="967"/>
      <c r="G1511" s="967"/>
      <c r="H1511" s="967">
        <v>0</v>
      </c>
      <c r="I1511" s="704"/>
      <c r="J1511" s="704"/>
      <c r="K1511" s="532"/>
      <c r="L1511" s="967"/>
      <c r="M1511" s="967"/>
      <c r="N1511" s="968">
        <v>0</v>
      </c>
      <c r="O1511" s="874"/>
      <c r="P1511" s="960"/>
      <c r="Q1511" s="822"/>
      <c r="R1511" s="961"/>
    </row>
    <row r="1512" spans="1:18" s="444" customFormat="1" ht="36" customHeight="1">
      <c r="A1512" s="672"/>
      <c r="B1512" s="673"/>
      <c r="C1512" s="454"/>
      <c r="D1512" s="442"/>
      <c r="E1512" s="966" t="s">
        <v>451</v>
      </c>
      <c r="F1512" s="967"/>
      <c r="G1512" s="967"/>
      <c r="H1512" s="967">
        <v>0</v>
      </c>
      <c r="I1512" s="704"/>
      <c r="J1512" s="704"/>
      <c r="K1512" s="532"/>
      <c r="L1512" s="967"/>
      <c r="M1512" s="967"/>
      <c r="N1512" s="968">
        <v>0</v>
      </c>
      <c r="O1512" s="874"/>
      <c r="P1512" s="960"/>
      <c r="Q1512" s="822"/>
      <c r="R1512" s="961"/>
    </row>
    <row r="1513" spans="1:18" s="444" customFormat="1" ht="36" customHeight="1">
      <c r="A1513" s="672"/>
      <c r="B1513" s="673"/>
      <c r="C1513" s="454"/>
      <c r="D1513" s="442"/>
      <c r="E1513" s="969" t="s">
        <v>491</v>
      </c>
      <c r="F1513" s="967"/>
      <c r="G1513" s="967"/>
      <c r="H1513" s="967">
        <v>4300</v>
      </c>
      <c r="I1513" s="704"/>
      <c r="J1513" s="704"/>
      <c r="K1513" s="532"/>
      <c r="L1513" s="967"/>
      <c r="M1513" s="967"/>
      <c r="N1513" s="968">
        <v>0</v>
      </c>
      <c r="O1513" s="874"/>
      <c r="P1513" s="960"/>
      <c r="Q1513" s="822"/>
      <c r="R1513" s="961"/>
    </row>
    <row r="1514" spans="1:18" s="444" customFormat="1" ht="84" customHeight="1">
      <c r="A1514" s="672"/>
      <c r="B1514" s="673"/>
      <c r="C1514" s="454"/>
      <c r="D1514" s="442"/>
      <c r="E1514" s="966" t="s">
        <v>453</v>
      </c>
      <c r="F1514" s="967"/>
      <c r="G1514" s="967"/>
      <c r="H1514" s="967">
        <v>0</v>
      </c>
      <c r="I1514" s="704"/>
      <c r="J1514" s="704"/>
      <c r="K1514" s="532"/>
      <c r="L1514" s="967"/>
      <c r="M1514" s="967"/>
      <c r="N1514" s="968">
        <v>0</v>
      </c>
      <c r="O1514" s="874"/>
      <c r="P1514" s="960"/>
      <c r="Q1514" s="822"/>
      <c r="R1514" s="961"/>
    </row>
    <row r="1515" spans="1:18" s="444" customFormat="1" ht="54.75" customHeight="1">
      <c r="A1515" s="672"/>
      <c r="B1515" s="673"/>
      <c r="C1515" s="454"/>
      <c r="D1515" s="442"/>
      <c r="E1515" s="966" t="s">
        <v>454</v>
      </c>
      <c r="F1515" s="967"/>
      <c r="G1515" s="967"/>
      <c r="H1515" s="967">
        <v>0</v>
      </c>
      <c r="I1515" s="704"/>
      <c r="J1515" s="704"/>
      <c r="K1515" s="532"/>
      <c r="L1515" s="967"/>
      <c r="M1515" s="967"/>
      <c r="N1515" s="968">
        <v>0</v>
      </c>
      <c r="O1515" s="874"/>
      <c r="P1515" s="960"/>
      <c r="Q1515" s="822"/>
      <c r="R1515" s="961"/>
    </row>
    <row r="1516" spans="1:18" s="444" customFormat="1" ht="36" customHeight="1">
      <c r="A1516" s="672"/>
      <c r="B1516" s="673"/>
      <c r="C1516" s="454"/>
      <c r="D1516" s="442"/>
      <c r="E1516" s="966" t="s">
        <v>455</v>
      </c>
      <c r="F1516" s="967"/>
      <c r="G1516" s="967"/>
      <c r="H1516" s="967">
        <v>0</v>
      </c>
      <c r="I1516" s="704"/>
      <c r="J1516" s="704"/>
      <c r="K1516" s="532"/>
      <c r="L1516" s="967"/>
      <c r="M1516" s="967"/>
      <c r="N1516" s="968">
        <v>0</v>
      </c>
      <c r="O1516" s="874"/>
      <c r="P1516" s="960"/>
      <c r="Q1516" s="822"/>
      <c r="R1516" s="961"/>
    </row>
    <row r="1517" spans="1:18" s="444" customFormat="1" ht="54.75" customHeight="1">
      <c r="A1517" s="672"/>
      <c r="B1517" s="673"/>
      <c r="C1517" s="454"/>
      <c r="D1517" s="442"/>
      <c r="E1517" s="966" t="s">
        <v>456</v>
      </c>
      <c r="F1517" s="967"/>
      <c r="G1517" s="967"/>
      <c r="H1517" s="967">
        <v>0</v>
      </c>
      <c r="I1517" s="704"/>
      <c r="J1517" s="704"/>
      <c r="K1517" s="532"/>
      <c r="L1517" s="967"/>
      <c r="M1517" s="967"/>
      <c r="N1517" s="968">
        <v>0</v>
      </c>
      <c r="O1517" s="874"/>
      <c r="P1517" s="960"/>
      <c r="Q1517" s="822"/>
      <c r="R1517" s="961"/>
    </row>
    <row r="1518" spans="1:18" s="444" customFormat="1" ht="36" customHeight="1">
      <c r="A1518" s="672"/>
      <c r="B1518" s="673"/>
      <c r="C1518" s="454"/>
      <c r="D1518" s="442"/>
      <c r="E1518" s="966" t="s">
        <v>457</v>
      </c>
      <c r="F1518" s="967"/>
      <c r="G1518" s="967"/>
      <c r="H1518" s="967">
        <v>0</v>
      </c>
      <c r="I1518" s="704"/>
      <c r="J1518" s="704"/>
      <c r="K1518" s="532"/>
      <c r="L1518" s="967"/>
      <c r="M1518" s="967"/>
      <c r="N1518" s="968">
        <v>0</v>
      </c>
      <c r="O1518" s="874"/>
      <c r="P1518" s="960"/>
      <c r="Q1518" s="822"/>
      <c r="R1518" s="961"/>
    </row>
    <row r="1519" spans="1:18" s="444" customFormat="1" ht="54.75" customHeight="1">
      <c r="A1519" s="672"/>
      <c r="B1519" s="673"/>
      <c r="C1519" s="454"/>
      <c r="D1519" s="442"/>
      <c r="E1519" s="966" t="s">
        <v>458</v>
      </c>
      <c r="F1519" s="967"/>
      <c r="G1519" s="967"/>
      <c r="H1519" s="967">
        <v>0</v>
      </c>
      <c r="I1519" s="704"/>
      <c r="J1519" s="704"/>
      <c r="K1519" s="532"/>
      <c r="L1519" s="967"/>
      <c r="M1519" s="967"/>
      <c r="N1519" s="968">
        <v>0</v>
      </c>
      <c r="O1519" s="874"/>
      <c r="P1519" s="960"/>
      <c r="Q1519" s="822"/>
      <c r="R1519" s="961"/>
    </row>
    <row r="1520" spans="1:18" s="444" customFormat="1" ht="36" customHeight="1">
      <c r="A1520" s="672"/>
      <c r="B1520" s="673"/>
      <c r="C1520" s="454"/>
      <c r="D1520" s="442"/>
      <c r="E1520" s="966" t="s">
        <v>459</v>
      </c>
      <c r="F1520" s="970"/>
      <c r="G1520" s="970"/>
      <c r="H1520" s="967">
        <v>32231.32</v>
      </c>
      <c r="I1520" s="704"/>
      <c r="J1520" s="704"/>
      <c r="K1520" s="532"/>
      <c r="L1520" s="970"/>
      <c r="M1520" s="970"/>
      <c r="N1520" s="968">
        <v>0</v>
      </c>
      <c r="O1520" s="874"/>
      <c r="P1520" s="960"/>
      <c r="Q1520" s="822"/>
      <c r="R1520" s="961"/>
    </row>
    <row r="1521" spans="1:18" s="444" customFormat="1" ht="36" customHeight="1">
      <c r="A1521" s="672"/>
      <c r="B1521" s="673"/>
      <c r="C1521" s="454"/>
      <c r="D1521" s="442"/>
      <c r="E1521" s="966" t="s">
        <v>460</v>
      </c>
      <c r="F1521" s="970"/>
      <c r="G1521" s="970"/>
      <c r="H1521" s="967">
        <v>0</v>
      </c>
      <c r="I1521" s="704"/>
      <c r="J1521" s="704"/>
      <c r="K1521" s="532"/>
      <c r="L1521" s="970"/>
      <c r="M1521" s="970"/>
      <c r="N1521" s="968">
        <v>0</v>
      </c>
      <c r="O1521" s="874"/>
      <c r="P1521" s="960"/>
      <c r="Q1521" s="822"/>
      <c r="R1521" s="961"/>
    </row>
    <row r="1522" spans="1:18" s="444" customFormat="1" ht="36" customHeight="1">
      <c r="A1522" s="672"/>
      <c r="B1522" s="673"/>
      <c r="C1522" s="454"/>
      <c r="D1522" s="442"/>
      <c r="E1522" s="966" t="s">
        <v>461</v>
      </c>
      <c r="F1522" s="970"/>
      <c r="G1522" s="970"/>
      <c r="H1522" s="967">
        <v>692</v>
      </c>
      <c r="I1522" s="704"/>
      <c r="J1522" s="704"/>
      <c r="K1522" s="532"/>
      <c r="L1522" s="970"/>
      <c r="M1522" s="970"/>
      <c r="N1522" s="968">
        <v>0</v>
      </c>
      <c r="O1522" s="874"/>
      <c r="P1522" s="960"/>
      <c r="Q1522" s="822"/>
      <c r="R1522" s="961"/>
    </row>
    <row r="1523" spans="1:18" s="444" customFormat="1" ht="36" customHeight="1">
      <c r="A1523" s="672"/>
      <c r="B1523" s="673"/>
      <c r="C1523" s="454"/>
      <c r="D1523" s="442"/>
      <c r="E1523" s="966" t="s">
        <v>462</v>
      </c>
      <c r="F1523" s="970"/>
      <c r="G1523" s="970"/>
      <c r="H1523" s="967">
        <v>35817</v>
      </c>
      <c r="I1523" s="704"/>
      <c r="J1523" s="704"/>
      <c r="K1523" s="532"/>
      <c r="L1523" s="970"/>
      <c r="M1523" s="970"/>
      <c r="N1523" s="968">
        <v>26698</v>
      </c>
      <c r="O1523" s="874"/>
      <c r="P1523" s="960"/>
      <c r="Q1523" s="822"/>
      <c r="R1523" s="961"/>
    </row>
    <row r="1524" spans="1:18" s="444" customFormat="1" ht="36" customHeight="1">
      <c r="A1524" s="672"/>
      <c r="B1524" s="673"/>
      <c r="C1524" s="454"/>
      <c r="D1524" s="442"/>
      <c r="E1524" s="966" t="s">
        <v>463</v>
      </c>
      <c r="F1524" s="970"/>
      <c r="G1524" s="970"/>
      <c r="H1524" s="967">
        <v>0</v>
      </c>
      <c r="I1524" s="704"/>
      <c r="J1524" s="704"/>
      <c r="K1524" s="532"/>
      <c r="L1524" s="970"/>
      <c r="M1524" s="970"/>
      <c r="N1524" s="968">
        <v>0</v>
      </c>
      <c r="O1524" s="874"/>
      <c r="P1524" s="960"/>
      <c r="Q1524" s="822"/>
      <c r="R1524" s="961"/>
    </row>
    <row r="1525" spans="1:18" s="444" customFormat="1" ht="57.75" customHeight="1">
      <c r="A1525" s="672"/>
      <c r="B1525" s="673"/>
      <c r="C1525" s="454"/>
      <c r="D1525" s="442"/>
      <c r="E1525" s="966" t="s">
        <v>464</v>
      </c>
      <c r="F1525" s="970"/>
      <c r="G1525" s="970"/>
      <c r="H1525" s="967">
        <v>0</v>
      </c>
      <c r="I1525" s="704"/>
      <c r="J1525" s="704"/>
      <c r="K1525" s="532"/>
      <c r="L1525" s="970"/>
      <c r="M1525" s="970"/>
      <c r="N1525" s="968">
        <v>0</v>
      </c>
      <c r="O1525" s="874"/>
      <c r="P1525" s="960"/>
      <c r="Q1525" s="822"/>
      <c r="R1525" s="961"/>
    </row>
    <row r="1526" spans="1:18" s="444" customFormat="1" ht="36" customHeight="1">
      <c r="A1526" s="672"/>
      <c r="B1526" s="673"/>
      <c r="C1526" s="454"/>
      <c r="D1526" s="442"/>
      <c r="E1526" s="966" t="s">
        <v>465</v>
      </c>
      <c r="F1526" s="970"/>
      <c r="G1526" s="970"/>
      <c r="H1526" s="967">
        <v>0</v>
      </c>
      <c r="I1526" s="704"/>
      <c r="J1526" s="704"/>
      <c r="K1526" s="532"/>
      <c r="L1526" s="970"/>
      <c r="M1526" s="970"/>
      <c r="N1526" s="968">
        <v>0</v>
      </c>
      <c r="O1526" s="874"/>
      <c r="P1526" s="960"/>
      <c r="Q1526" s="822"/>
      <c r="R1526" s="961"/>
    </row>
    <row r="1527" spans="1:18" s="444" customFormat="1" ht="36" customHeight="1">
      <c r="A1527" s="672"/>
      <c r="B1527" s="673"/>
      <c r="C1527" s="454"/>
      <c r="D1527" s="442"/>
      <c r="E1527" s="966" t="s">
        <v>466</v>
      </c>
      <c r="F1527" s="970"/>
      <c r="G1527" s="970"/>
      <c r="H1527" s="967">
        <v>0</v>
      </c>
      <c r="I1527" s="704"/>
      <c r="J1527" s="704"/>
      <c r="K1527" s="532"/>
      <c r="L1527" s="970"/>
      <c r="M1527" s="970"/>
      <c r="N1527" s="968">
        <v>0</v>
      </c>
      <c r="O1527" s="874"/>
      <c r="P1527" s="960"/>
      <c r="Q1527" s="822"/>
      <c r="R1527" s="961"/>
    </row>
    <row r="1528" spans="1:18" s="444" customFormat="1" ht="36" customHeight="1">
      <c r="A1528" s="672"/>
      <c r="B1528" s="673"/>
      <c r="C1528" s="454"/>
      <c r="D1528" s="442"/>
      <c r="E1528" s="966" t="s">
        <v>492</v>
      </c>
      <c r="F1528" s="970"/>
      <c r="G1528" s="970"/>
      <c r="H1528" s="967">
        <v>1674.81</v>
      </c>
      <c r="I1528" s="704"/>
      <c r="J1528" s="704"/>
      <c r="K1528" s="532"/>
      <c r="L1528" s="970"/>
      <c r="M1528" s="970"/>
      <c r="N1528" s="968">
        <v>0</v>
      </c>
      <c r="O1528" s="874"/>
      <c r="P1528" s="960"/>
      <c r="Q1528" s="822"/>
      <c r="R1528" s="961"/>
    </row>
    <row r="1529" spans="1:18" s="444" customFormat="1" ht="57" customHeight="1">
      <c r="A1529" s="672"/>
      <c r="B1529" s="673"/>
      <c r="C1529" s="1017"/>
      <c r="D1529" s="1018"/>
      <c r="E1529" s="1019" t="s">
        <v>467</v>
      </c>
      <c r="F1529" s="1020">
        <v>117300</v>
      </c>
      <c r="G1529" s="1020">
        <v>111778</v>
      </c>
      <c r="H1529" s="1020">
        <v>74715.13</v>
      </c>
      <c r="I1529" s="1021"/>
      <c r="J1529" s="1021"/>
      <c r="K1529" s="1022"/>
      <c r="L1529" s="1020">
        <v>0</v>
      </c>
      <c r="M1529" s="1020">
        <v>0</v>
      </c>
      <c r="N1529" s="1020">
        <v>0</v>
      </c>
      <c r="O1529" s="933">
        <v>0</v>
      </c>
      <c r="P1529" s="960" t="s">
        <v>286</v>
      </c>
      <c r="Q1529" s="822"/>
      <c r="R1529" s="961"/>
    </row>
    <row r="1530" spans="1:18" s="182" customFormat="1" ht="39.9" customHeight="1">
      <c r="A1530" s="642"/>
      <c r="B1530" s="178"/>
      <c r="C1530" s="185">
        <v>2</v>
      </c>
      <c r="D1530" s="184"/>
      <c r="E1530" s="183" t="s">
        <v>233</v>
      </c>
      <c r="F1530" s="255"/>
      <c r="G1530" s="460"/>
      <c r="H1530" s="460"/>
      <c r="I1530" s="460"/>
      <c r="J1530" s="460"/>
      <c r="K1530" s="460">
        <f>646000+2606+29894+500</f>
        <v>679000</v>
      </c>
      <c r="L1530" s="460">
        <f>L1531+L1550+L1572</f>
        <v>679000</v>
      </c>
      <c r="M1530" s="460">
        <f t="shared" ref="M1530:N1530" si="206">M1531+M1550+M1572</f>
        <v>679000</v>
      </c>
      <c r="N1530" s="460">
        <f t="shared" si="206"/>
        <v>315429.04000000004</v>
      </c>
      <c r="O1530" s="917">
        <f>N1530/M1530</f>
        <v>0.46454939617083951</v>
      </c>
      <c r="P1530" s="786" t="s">
        <v>286</v>
      </c>
    </row>
    <row r="1531" spans="1:18" s="435" customFormat="1" ht="39.9" customHeight="1">
      <c r="A1531" s="705"/>
      <c r="B1531" s="949"/>
      <c r="C1531" s="463"/>
      <c r="D1531" s="448"/>
      <c r="E1531" s="1026" t="s">
        <v>435</v>
      </c>
      <c r="F1531" s="951"/>
      <c r="G1531" s="952"/>
      <c r="H1531" s="952"/>
      <c r="I1531" s="952"/>
      <c r="J1531" s="953"/>
      <c r="K1531" s="954"/>
      <c r="L1531" s="955">
        <v>646000</v>
      </c>
      <c r="M1531" s="955">
        <v>645611</v>
      </c>
      <c r="N1531" s="956">
        <f>SUM(N1533:N1549)</f>
        <v>292329.04000000004</v>
      </c>
      <c r="O1531" s="932">
        <f>N1531/M1531</f>
        <v>0.45279439166928698</v>
      </c>
      <c r="P1531" s="957" t="s">
        <v>286</v>
      </c>
      <c r="Q1531" s="823"/>
      <c r="R1531" s="958"/>
    </row>
    <row r="1532" spans="1:18" s="444" customFormat="1" ht="34.5" customHeight="1">
      <c r="A1532" s="672"/>
      <c r="B1532" s="673"/>
      <c r="C1532" s="454"/>
      <c r="D1532" s="442"/>
      <c r="E1532" s="1024" t="s">
        <v>16</v>
      </c>
      <c r="F1532" s="703"/>
      <c r="G1532" s="704"/>
      <c r="H1532" s="704"/>
      <c r="I1532" s="704"/>
      <c r="J1532" s="704"/>
      <c r="K1532" s="389"/>
      <c r="L1532" s="666"/>
      <c r="M1532" s="666"/>
      <c r="N1532" s="666"/>
      <c r="O1532" s="874"/>
      <c r="P1532" s="960"/>
      <c r="Q1532" s="822"/>
      <c r="R1532" s="961"/>
    </row>
    <row r="1533" spans="1:18" s="444" customFormat="1" ht="36" customHeight="1">
      <c r="A1533" s="672"/>
      <c r="B1533" s="673"/>
      <c r="C1533" s="454"/>
      <c r="D1533" s="429"/>
      <c r="E1533" s="1025" t="s">
        <v>631</v>
      </c>
      <c r="F1533" s="703"/>
      <c r="G1533" s="704"/>
      <c r="H1533" s="704"/>
      <c r="I1533" s="704"/>
      <c r="J1533" s="704"/>
      <c r="K1533" s="389"/>
      <c r="L1533" s="963"/>
      <c r="M1533" s="963"/>
      <c r="N1533" s="964">
        <v>215293.48</v>
      </c>
      <c r="O1533" s="874"/>
      <c r="P1533" s="960"/>
      <c r="Q1533" s="822"/>
      <c r="R1533" s="961"/>
    </row>
    <row r="1534" spans="1:18" s="444" customFormat="1" ht="57" customHeight="1">
      <c r="A1534" s="672"/>
      <c r="B1534" s="673"/>
      <c r="C1534" s="454"/>
      <c r="D1534" s="442"/>
      <c r="E1534" s="1025" t="s">
        <v>630</v>
      </c>
      <c r="F1534" s="703"/>
      <c r="G1534" s="704"/>
      <c r="H1534" s="704"/>
      <c r="I1534" s="704"/>
      <c r="J1534" s="704"/>
      <c r="K1534" s="389"/>
      <c r="L1534" s="963"/>
      <c r="M1534" s="963"/>
      <c r="N1534" s="964">
        <v>0</v>
      </c>
      <c r="O1534" s="874"/>
      <c r="P1534" s="960"/>
      <c r="Q1534" s="822"/>
      <c r="R1534" s="961"/>
    </row>
    <row r="1535" spans="1:18" s="444" customFormat="1" ht="43.5" customHeight="1">
      <c r="A1535" s="672"/>
      <c r="B1535" s="673"/>
      <c r="C1535" s="454"/>
      <c r="D1535" s="442"/>
      <c r="E1535" s="1025" t="s">
        <v>436</v>
      </c>
      <c r="F1535" s="703"/>
      <c r="G1535" s="704"/>
      <c r="H1535" s="704"/>
      <c r="I1535" s="704"/>
      <c r="J1535" s="704"/>
      <c r="K1535" s="389"/>
      <c r="L1535" s="963"/>
      <c r="M1535" s="963"/>
      <c r="N1535" s="964">
        <v>0</v>
      </c>
      <c r="O1535" s="874"/>
      <c r="P1535" s="960"/>
      <c r="Q1535" s="822"/>
      <c r="R1535" s="961"/>
    </row>
    <row r="1536" spans="1:18" s="444" customFormat="1" ht="36" customHeight="1">
      <c r="A1536" s="672"/>
      <c r="B1536" s="673"/>
      <c r="C1536" s="454"/>
      <c r="D1536" s="442"/>
      <c r="E1536" s="1025" t="s">
        <v>478</v>
      </c>
      <c r="F1536" s="703"/>
      <c r="G1536" s="704"/>
      <c r="H1536" s="704"/>
      <c r="I1536" s="704"/>
      <c r="J1536" s="704"/>
      <c r="K1536" s="389"/>
      <c r="L1536" s="963"/>
      <c r="M1536" s="963"/>
      <c r="N1536" s="964">
        <v>0</v>
      </c>
      <c r="O1536" s="874"/>
      <c r="P1536" s="960"/>
      <c r="Q1536" s="822"/>
      <c r="R1536" s="961"/>
    </row>
    <row r="1537" spans="1:18" s="444" customFormat="1" ht="36" customHeight="1">
      <c r="A1537" s="672"/>
      <c r="B1537" s="673"/>
      <c r="C1537" s="454"/>
      <c r="D1537" s="442"/>
      <c r="E1537" s="1025" t="s">
        <v>471</v>
      </c>
      <c r="F1537" s="703"/>
      <c r="G1537" s="704"/>
      <c r="H1537" s="704"/>
      <c r="I1537" s="704"/>
      <c r="J1537" s="704"/>
      <c r="K1537" s="389"/>
      <c r="L1537" s="963"/>
      <c r="M1537" s="963"/>
      <c r="N1537" s="964">
        <v>0</v>
      </c>
      <c r="O1537" s="874"/>
      <c r="P1537" s="960"/>
      <c r="Q1537" s="822"/>
      <c r="R1537" s="961"/>
    </row>
    <row r="1538" spans="1:18" s="444" customFormat="1" ht="36" customHeight="1">
      <c r="A1538" s="672"/>
      <c r="B1538" s="673"/>
      <c r="C1538" s="454"/>
      <c r="D1538" s="442"/>
      <c r="E1538" s="1025" t="s">
        <v>437</v>
      </c>
      <c r="F1538" s="703"/>
      <c r="G1538" s="704"/>
      <c r="H1538" s="704"/>
      <c r="I1538" s="704"/>
      <c r="J1538" s="704"/>
      <c r="K1538" s="389"/>
      <c r="L1538" s="963"/>
      <c r="M1538" s="963"/>
      <c r="N1538" s="964">
        <v>0</v>
      </c>
      <c r="O1538" s="874"/>
      <c r="P1538" s="960"/>
      <c r="Q1538" s="822"/>
      <c r="R1538" s="961"/>
    </row>
    <row r="1539" spans="1:18" s="444" customFormat="1" ht="36" customHeight="1">
      <c r="A1539" s="672"/>
      <c r="B1539" s="673"/>
      <c r="C1539" s="454"/>
      <c r="D1539" s="442"/>
      <c r="E1539" s="1025" t="s">
        <v>438</v>
      </c>
      <c r="F1539" s="703"/>
      <c r="G1539" s="704"/>
      <c r="H1539" s="704"/>
      <c r="I1539" s="704"/>
      <c r="J1539" s="704"/>
      <c r="K1539" s="389"/>
      <c r="L1539" s="963"/>
      <c r="M1539" s="963"/>
      <c r="N1539" s="964">
        <v>0</v>
      </c>
      <c r="O1539" s="874"/>
      <c r="P1539" s="960"/>
      <c r="Q1539" s="822"/>
      <c r="R1539" s="961"/>
    </row>
    <row r="1540" spans="1:18" s="444" customFormat="1" ht="36" customHeight="1">
      <c r="A1540" s="672"/>
      <c r="B1540" s="673"/>
      <c r="C1540" s="454"/>
      <c r="D1540" s="442"/>
      <c r="E1540" s="1025" t="s">
        <v>472</v>
      </c>
      <c r="F1540" s="703"/>
      <c r="G1540" s="704"/>
      <c r="H1540" s="704"/>
      <c r="I1540" s="704"/>
      <c r="J1540" s="704"/>
      <c r="K1540" s="389"/>
      <c r="L1540" s="963"/>
      <c r="M1540" s="963"/>
      <c r="N1540" s="964">
        <v>0</v>
      </c>
      <c r="O1540" s="874"/>
      <c r="P1540" s="960"/>
      <c r="Q1540" s="822"/>
      <c r="R1540" s="961"/>
    </row>
    <row r="1541" spans="1:18" s="444" customFormat="1" ht="36" customHeight="1">
      <c r="A1541" s="672"/>
      <c r="B1541" s="673"/>
      <c r="C1541" s="454"/>
      <c r="D1541" s="442"/>
      <c r="E1541" s="1025" t="s">
        <v>439</v>
      </c>
      <c r="F1541" s="703"/>
      <c r="G1541" s="704"/>
      <c r="H1541" s="704"/>
      <c r="I1541" s="704"/>
      <c r="J1541" s="704"/>
      <c r="K1541" s="389"/>
      <c r="L1541" s="963"/>
      <c r="M1541" s="963"/>
      <c r="N1541" s="964">
        <v>0</v>
      </c>
      <c r="O1541" s="874"/>
      <c r="P1541" s="960"/>
      <c r="Q1541" s="822"/>
      <c r="R1541" s="961"/>
    </row>
    <row r="1542" spans="1:18" s="444" customFormat="1" ht="36" customHeight="1">
      <c r="A1542" s="672"/>
      <c r="B1542" s="673"/>
      <c r="C1542" s="454"/>
      <c r="D1542" s="442"/>
      <c r="E1542" s="1025" t="s">
        <v>440</v>
      </c>
      <c r="F1542" s="703"/>
      <c r="G1542" s="704"/>
      <c r="H1542" s="704"/>
      <c r="I1542" s="704"/>
      <c r="J1542" s="704"/>
      <c r="K1542" s="389"/>
      <c r="L1542" s="963"/>
      <c r="M1542" s="963"/>
      <c r="N1542" s="964">
        <v>0</v>
      </c>
      <c r="O1542" s="874"/>
      <c r="P1542" s="960"/>
      <c r="Q1542" s="822"/>
      <c r="R1542" s="961"/>
    </row>
    <row r="1543" spans="1:18" s="444" customFormat="1" ht="36" customHeight="1">
      <c r="A1543" s="672"/>
      <c r="B1543" s="673"/>
      <c r="C1543" s="454"/>
      <c r="D1543" s="442"/>
      <c r="E1543" s="1025" t="s">
        <v>632</v>
      </c>
      <c r="F1543" s="703"/>
      <c r="G1543" s="704"/>
      <c r="H1543" s="704"/>
      <c r="I1543" s="704"/>
      <c r="J1543" s="704"/>
      <c r="K1543" s="389"/>
      <c r="L1543" s="963"/>
      <c r="M1543" s="963"/>
      <c r="N1543" s="964">
        <v>955.98</v>
      </c>
      <c r="O1543" s="874"/>
      <c r="P1543" s="960"/>
      <c r="Q1543" s="822"/>
      <c r="R1543" s="961"/>
    </row>
    <row r="1544" spans="1:18" s="444" customFormat="1" ht="42.75" customHeight="1">
      <c r="A1544" s="672"/>
      <c r="B1544" s="673"/>
      <c r="C1544" s="454"/>
      <c r="D1544" s="442"/>
      <c r="E1544" s="1025" t="s">
        <v>489</v>
      </c>
      <c r="F1544" s="703"/>
      <c r="G1544" s="704"/>
      <c r="H1544" s="704"/>
      <c r="I1544" s="704"/>
      <c r="J1544" s="704"/>
      <c r="K1544" s="389"/>
      <c r="L1544" s="963"/>
      <c r="M1544" s="963"/>
      <c r="N1544" s="964">
        <v>0</v>
      </c>
      <c r="O1544" s="874"/>
      <c r="P1544" s="960"/>
      <c r="Q1544" s="822"/>
      <c r="R1544" s="961"/>
    </row>
    <row r="1545" spans="1:18" s="444" customFormat="1" ht="36" customHeight="1">
      <c r="A1545" s="672"/>
      <c r="B1545" s="673"/>
      <c r="C1545" s="454"/>
      <c r="D1545" s="442"/>
      <c r="E1545" s="1025" t="s">
        <v>442</v>
      </c>
      <c r="F1545" s="703"/>
      <c r="G1545" s="704"/>
      <c r="H1545" s="704"/>
      <c r="I1545" s="704"/>
      <c r="J1545" s="704"/>
      <c r="K1545" s="389"/>
      <c r="L1545" s="963"/>
      <c r="M1545" s="963"/>
      <c r="N1545" s="964">
        <v>0</v>
      </c>
      <c r="O1545" s="874"/>
      <c r="P1545" s="960"/>
      <c r="Q1545" s="822"/>
      <c r="R1545" s="961"/>
    </row>
    <row r="1546" spans="1:18" s="444" customFormat="1" ht="36" customHeight="1">
      <c r="A1546" s="672"/>
      <c r="B1546" s="673"/>
      <c r="C1546" s="454"/>
      <c r="D1546" s="442"/>
      <c r="E1546" s="1025" t="s">
        <v>443</v>
      </c>
      <c r="F1546" s="703"/>
      <c r="G1546" s="704"/>
      <c r="H1546" s="704"/>
      <c r="I1546" s="704"/>
      <c r="J1546" s="704"/>
      <c r="K1546" s="389"/>
      <c r="L1546" s="963"/>
      <c r="M1546" s="963"/>
      <c r="N1546" s="964">
        <v>35329.74</v>
      </c>
      <c r="O1546" s="874"/>
      <c r="P1546" s="960"/>
      <c r="Q1546" s="822"/>
      <c r="R1546" s="961"/>
    </row>
    <row r="1547" spans="1:18" s="444" customFormat="1" ht="36" customHeight="1">
      <c r="A1547" s="672"/>
      <c r="B1547" s="673"/>
      <c r="C1547" s="454"/>
      <c r="D1547" s="442"/>
      <c r="E1547" s="1025" t="s">
        <v>482</v>
      </c>
      <c r="F1547" s="703"/>
      <c r="G1547" s="704"/>
      <c r="H1547" s="704"/>
      <c r="I1547" s="704"/>
      <c r="J1547" s="704"/>
      <c r="K1547" s="389"/>
      <c r="L1547" s="963"/>
      <c r="M1547" s="963"/>
      <c r="N1547" s="964">
        <v>0</v>
      </c>
      <c r="O1547" s="874"/>
      <c r="P1547" s="960"/>
      <c r="Q1547" s="822"/>
      <c r="R1547" s="961"/>
    </row>
    <row r="1548" spans="1:18" s="444" customFormat="1" ht="36" customHeight="1">
      <c r="A1548" s="672"/>
      <c r="B1548" s="673"/>
      <c r="C1548" s="454"/>
      <c r="D1548" s="442"/>
      <c r="E1548" s="1025" t="s">
        <v>485</v>
      </c>
      <c r="F1548" s="703"/>
      <c r="G1548" s="704"/>
      <c r="H1548" s="704"/>
      <c r="I1548" s="704"/>
      <c r="J1548" s="704"/>
      <c r="K1548" s="389"/>
      <c r="L1548" s="963"/>
      <c r="M1548" s="963"/>
      <c r="N1548" s="964">
        <v>0</v>
      </c>
      <c r="O1548" s="874"/>
      <c r="P1548" s="960"/>
      <c r="Q1548" s="822"/>
      <c r="R1548" s="961"/>
    </row>
    <row r="1549" spans="1:18" s="444" customFormat="1" ht="36" customHeight="1">
      <c r="A1549" s="672"/>
      <c r="B1549" s="673"/>
      <c r="C1549" s="454"/>
      <c r="D1549" s="442"/>
      <c r="E1549" s="1025" t="s">
        <v>445</v>
      </c>
      <c r="F1549" s="703"/>
      <c r="G1549" s="704"/>
      <c r="H1549" s="704"/>
      <c r="I1549" s="704"/>
      <c r="J1549" s="704"/>
      <c r="K1549" s="389"/>
      <c r="L1549" s="963"/>
      <c r="M1549" s="963"/>
      <c r="N1549" s="964">
        <v>40749.839999999997</v>
      </c>
      <c r="O1549" s="874"/>
      <c r="P1549" s="960"/>
      <c r="Q1549" s="822"/>
      <c r="R1549" s="961"/>
    </row>
    <row r="1550" spans="1:18" s="444" customFormat="1" ht="57" customHeight="1">
      <c r="A1550" s="672"/>
      <c r="B1550" s="673"/>
      <c r="C1550" s="965"/>
      <c r="D1550" s="442"/>
      <c r="E1550" s="1026" t="s">
        <v>446</v>
      </c>
      <c r="F1550" s="955">
        <v>117300</v>
      </c>
      <c r="G1550" s="955">
        <v>111778</v>
      </c>
      <c r="H1550" s="955">
        <v>74715.13</v>
      </c>
      <c r="I1550" s="704"/>
      <c r="J1550" s="704"/>
      <c r="K1550" s="532"/>
      <c r="L1550" s="955">
        <v>33000</v>
      </c>
      <c r="M1550" s="955">
        <v>33389</v>
      </c>
      <c r="N1550" s="956">
        <f>SUM(N1551:N1571)</f>
        <v>23100</v>
      </c>
      <c r="O1550" s="932">
        <f>N1550/M1550</f>
        <v>0.69184461948545928</v>
      </c>
      <c r="P1550" s="960" t="s">
        <v>286</v>
      </c>
      <c r="Q1550" s="822"/>
      <c r="R1550" s="961"/>
    </row>
    <row r="1551" spans="1:18" s="444" customFormat="1" ht="78.75" customHeight="1">
      <c r="A1551" s="672"/>
      <c r="B1551" s="673"/>
      <c r="C1551" s="454"/>
      <c r="D1551" s="442"/>
      <c r="E1551" s="1027" t="s">
        <v>447</v>
      </c>
      <c r="F1551" s="967"/>
      <c r="G1551" s="967"/>
      <c r="H1551" s="967">
        <v>0</v>
      </c>
      <c r="I1551" s="704"/>
      <c r="J1551" s="704"/>
      <c r="K1551" s="532"/>
      <c r="L1551" s="967"/>
      <c r="M1551" s="967"/>
      <c r="N1551" s="968">
        <v>0</v>
      </c>
      <c r="O1551" s="874"/>
      <c r="P1551" s="960"/>
      <c r="Q1551" s="822"/>
      <c r="R1551" s="961"/>
    </row>
    <row r="1552" spans="1:18" s="444" customFormat="1" ht="36" customHeight="1">
      <c r="A1552" s="672"/>
      <c r="B1552" s="673"/>
      <c r="C1552" s="454"/>
      <c r="D1552" s="442"/>
      <c r="E1552" s="1027" t="s">
        <v>448</v>
      </c>
      <c r="F1552" s="967"/>
      <c r="G1552" s="967"/>
      <c r="H1552" s="967">
        <v>0</v>
      </c>
      <c r="I1552" s="704"/>
      <c r="J1552" s="704"/>
      <c r="K1552" s="532"/>
      <c r="L1552" s="967"/>
      <c r="M1552" s="967"/>
      <c r="N1552" s="968">
        <v>0</v>
      </c>
      <c r="O1552" s="874"/>
      <c r="P1552" s="960"/>
      <c r="Q1552" s="822"/>
      <c r="R1552" s="961"/>
    </row>
    <row r="1553" spans="1:18" s="444" customFormat="1" ht="36" customHeight="1">
      <c r="A1553" s="672"/>
      <c r="B1553" s="673"/>
      <c r="C1553" s="454"/>
      <c r="D1553" s="442"/>
      <c r="E1553" s="1027" t="s">
        <v>449</v>
      </c>
      <c r="F1553" s="967"/>
      <c r="G1553" s="967"/>
      <c r="H1553" s="967">
        <v>0</v>
      </c>
      <c r="I1553" s="704"/>
      <c r="J1553" s="704"/>
      <c r="K1553" s="532"/>
      <c r="L1553" s="967"/>
      <c r="M1553" s="967"/>
      <c r="N1553" s="968">
        <v>0</v>
      </c>
      <c r="O1553" s="874"/>
      <c r="P1553" s="960"/>
      <c r="Q1553" s="822"/>
      <c r="R1553" s="961"/>
    </row>
    <row r="1554" spans="1:18" s="444" customFormat="1" ht="36" customHeight="1">
      <c r="A1554" s="672"/>
      <c r="B1554" s="673"/>
      <c r="C1554" s="454"/>
      <c r="D1554" s="442"/>
      <c r="E1554" s="1027" t="s">
        <v>450</v>
      </c>
      <c r="F1554" s="967"/>
      <c r="G1554" s="967"/>
      <c r="H1554" s="967">
        <v>0</v>
      </c>
      <c r="I1554" s="704"/>
      <c r="J1554" s="704"/>
      <c r="K1554" s="532"/>
      <c r="L1554" s="967"/>
      <c r="M1554" s="967"/>
      <c r="N1554" s="968">
        <v>0</v>
      </c>
      <c r="O1554" s="874"/>
      <c r="P1554" s="960"/>
      <c r="Q1554" s="822"/>
      <c r="R1554" s="961"/>
    </row>
    <row r="1555" spans="1:18" s="444" customFormat="1" ht="36" customHeight="1">
      <c r="A1555" s="672"/>
      <c r="B1555" s="673"/>
      <c r="C1555" s="454"/>
      <c r="D1555" s="442"/>
      <c r="E1555" s="1027" t="s">
        <v>451</v>
      </c>
      <c r="F1555" s="967"/>
      <c r="G1555" s="967"/>
      <c r="H1555" s="967">
        <v>0</v>
      </c>
      <c r="I1555" s="704"/>
      <c r="J1555" s="704"/>
      <c r="K1555" s="532"/>
      <c r="L1555" s="967"/>
      <c r="M1555" s="967"/>
      <c r="N1555" s="968">
        <v>0</v>
      </c>
      <c r="O1555" s="874"/>
      <c r="P1555" s="960"/>
      <c r="Q1555" s="822"/>
      <c r="R1555" s="961"/>
    </row>
    <row r="1556" spans="1:18" s="444" customFormat="1" ht="36" customHeight="1">
      <c r="A1556" s="672"/>
      <c r="B1556" s="673"/>
      <c r="C1556" s="454"/>
      <c r="D1556" s="442"/>
      <c r="E1556" s="1028" t="s">
        <v>491</v>
      </c>
      <c r="F1556" s="967"/>
      <c r="G1556" s="967"/>
      <c r="H1556" s="967">
        <v>4300</v>
      </c>
      <c r="I1556" s="704"/>
      <c r="J1556" s="704"/>
      <c r="K1556" s="532"/>
      <c r="L1556" s="967"/>
      <c r="M1556" s="967"/>
      <c r="N1556" s="968">
        <v>0</v>
      </c>
      <c r="O1556" s="874"/>
      <c r="P1556" s="960"/>
      <c r="Q1556" s="822"/>
      <c r="R1556" s="961"/>
    </row>
    <row r="1557" spans="1:18" s="444" customFormat="1" ht="84" customHeight="1">
      <c r="A1557" s="672"/>
      <c r="B1557" s="673"/>
      <c r="C1557" s="454"/>
      <c r="D1557" s="442"/>
      <c r="E1557" s="1027" t="s">
        <v>453</v>
      </c>
      <c r="F1557" s="967"/>
      <c r="G1557" s="967"/>
      <c r="H1557" s="967">
        <v>0</v>
      </c>
      <c r="I1557" s="704"/>
      <c r="J1557" s="704"/>
      <c r="K1557" s="532"/>
      <c r="L1557" s="967"/>
      <c r="M1557" s="967"/>
      <c r="N1557" s="968">
        <v>0</v>
      </c>
      <c r="O1557" s="874"/>
      <c r="P1557" s="960"/>
      <c r="Q1557" s="822"/>
      <c r="R1557" s="961"/>
    </row>
    <row r="1558" spans="1:18" s="444" customFormat="1" ht="54.75" customHeight="1">
      <c r="A1558" s="672"/>
      <c r="B1558" s="673"/>
      <c r="C1558" s="454"/>
      <c r="D1558" s="442"/>
      <c r="E1558" s="1027" t="s">
        <v>454</v>
      </c>
      <c r="F1558" s="967"/>
      <c r="G1558" s="967"/>
      <c r="H1558" s="967">
        <v>0</v>
      </c>
      <c r="I1558" s="704"/>
      <c r="J1558" s="704"/>
      <c r="K1558" s="532"/>
      <c r="L1558" s="967"/>
      <c r="M1558" s="967"/>
      <c r="N1558" s="968">
        <v>0</v>
      </c>
      <c r="O1558" s="874"/>
      <c r="P1558" s="960"/>
      <c r="Q1558" s="822"/>
      <c r="R1558" s="961"/>
    </row>
    <row r="1559" spans="1:18" s="444" customFormat="1" ht="36" customHeight="1">
      <c r="A1559" s="672"/>
      <c r="B1559" s="673"/>
      <c r="C1559" s="454"/>
      <c r="D1559" s="442"/>
      <c r="E1559" s="1027" t="s">
        <v>455</v>
      </c>
      <c r="F1559" s="967"/>
      <c r="G1559" s="967"/>
      <c r="H1559" s="967">
        <v>0</v>
      </c>
      <c r="I1559" s="704"/>
      <c r="J1559" s="704"/>
      <c r="K1559" s="532"/>
      <c r="L1559" s="967"/>
      <c r="M1559" s="967"/>
      <c r="N1559" s="968">
        <v>0</v>
      </c>
      <c r="O1559" s="874"/>
      <c r="P1559" s="960"/>
      <c r="Q1559" s="822"/>
      <c r="R1559" s="961"/>
    </row>
    <row r="1560" spans="1:18" s="444" customFormat="1" ht="54.75" customHeight="1">
      <c r="A1560" s="672"/>
      <c r="B1560" s="673"/>
      <c r="C1560" s="454"/>
      <c r="D1560" s="442"/>
      <c r="E1560" s="1027" t="s">
        <v>456</v>
      </c>
      <c r="F1560" s="967"/>
      <c r="G1560" s="967"/>
      <c r="H1560" s="967">
        <v>0</v>
      </c>
      <c r="I1560" s="704"/>
      <c r="J1560" s="704"/>
      <c r="K1560" s="532"/>
      <c r="L1560" s="967"/>
      <c r="M1560" s="967"/>
      <c r="N1560" s="968">
        <v>0</v>
      </c>
      <c r="O1560" s="874"/>
      <c r="P1560" s="960"/>
      <c r="Q1560" s="822"/>
      <c r="R1560" s="961"/>
    </row>
    <row r="1561" spans="1:18" s="444" customFormat="1" ht="36" customHeight="1">
      <c r="A1561" s="672"/>
      <c r="B1561" s="673"/>
      <c r="C1561" s="454"/>
      <c r="D1561" s="442"/>
      <c r="E1561" s="1027" t="s">
        <v>457</v>
      </c>
      <c r="F1561" s="967"/>
      <c r="G1561" s="967"/>
      <c r="H1561" s="967">
        <v>0</v>
      </c>
      <c r="I1561" s="704"/>
      <c r="J1561" s="704"/>
      <c r="K1561" s="532"/>
      <c r="L1561" s="967"/>
      <c r="M1561" s="967"/>
      <c r="N1561" s="968">
        <v>0</v>
      </c>
      <c r="O1561" s="874"/>
      <c r="P1561" s="960"/>
      <c r="Q1561" s="822"/>
      <c r="R1561" s="961"/>
    </row>
    <row r="1562" spans="1:18" s="444" customFormat="1" ht="54.75" customHeight="1">
      <c r="A1562" s="672"/>
      <c r="B1562" s="673"/>
      <c r="C1562" s="454"/>
      <c r="D1562" s="442"/>
      <c r="E1562" s="1027" t="s">
        <v>458</v>
      </c>
      <c r="F1562" s="967"/>
      <c r="G1562" s="967"/>
      <c r="H1562" s="967">
        <v>0</v>
      </c>
      <c r="I1562" s="704"/>
      <c r="J1562" s="704"/>
      <c r="K1562" s="532"/>
      <c r="L1562" s="967"/>
      <c r="M1562" s="967"/>
      <c r="N1562" s="968">
        <v>0</v>
      </c>
      <c r="O1562" s="874"/>
      <c r="P1562" s="960"/>
      <c r="Q1562" s="822"/>
      <c r="R1562" s="961"/>
    </row>
    <row r="1563" spans="1:18" s="444" customFormat="1" ht="36" customHeight="1">
      <c r="A1563" s="672"/>
      <c r="B1563" s="673"/>
      <c r="C1563" s="454"/>
      <c r="D1563" s="442"/>
      <c r="E1563" s="1027" t="s">
        <v>459</v>
      </c>
      <c r="F1563" s="970"/>
      <c r="G1563" s="970"/>
      <c r="H1563" s="967">
        <v>32231.32</v>
      </c>
      <c r="I1563" s="704"/>
      <c r="J1563" s="704"/>
      <c r="K1563" s="532"/>
      <c r="L1563" s="970"/>
      <c r="M1563" s="970"/>
      <c r="N1563" s="968">
        <v>0</v>
      </c>
      <c r="O1563" s="874"/>
      <c r="P1563" s="960"/>
      <c r="Q1563" s="822"/>
      <c r="R1563" s="961"/>
    </row>
    <row r="1564" spans="1:18" s="444" customFormat="1" ht="36" customHeight="1">
      <c r="A1564" s="672"/>
      <c r="B1564" s="673"/>
      <c r="C1564" s="454"/>
      <c r="D1564" s="442"/>
      <c r="E1564" s="1027" t="s">
        <v>460</v>
      </c>
      <c r="F1564" s="970"/>
      <c r="G1564" s="970"/>
      <c r="H1564" s="967">
        <v>0</v>
      </c>
      <c r="I1564" s="704"/>
      <c r="J1564" s="704"/>
      <c r="K1564" s="532"/>
      <c r="L1564" s="970"/>
      <c r="M1564" s="970"/>
      <c r="N1564" s="968">
        <v>0</v>
      </c>
      <c r="O1564" s="874"/>
      <c r="P1564" s="960"/>
      <c r="Q1564" s="822"/>
      <c r="R1564" s="961"/>
    </row>
    <row r="1565" spans="1:18" s="444" customFormat="1" ht="36" customHeight="1">
      <c r="A1565" s="672"/>
      <c r="B1565" s="673"/>
      <c r="C1565" s="454"/>
      <c r="D1565" s="442"/>
      <c r="E1565" s="1027" t="s">
        <v>461</v>
      </c>
      <c r="F1565" s="970"/>
      <c r="G1565" s="970"/>
      <c r="H1565" s="967">
        <v>692</v>
      </c>
      <c r="I1565" s="704"/>
      <c r="J1565" s="704"/>
      <c r="K1565" s="532"/>
      <c r="L1565" s="970"/>
      <c r="M1565" s="970"/>
      <c r="N1565" s="968">
        <v>0</v>
      </c>
      <c r="O1565" s="874"/>
      <c r="P1565" s="960"/>
      <c r="Q1565" s="822"/>
      <c r="R1565" s="961"/>
    </row>
    <row r="1566" spans="1:18" s="444" customFormat="1" ht="36" customHeight="1">
      <c r="A1566" s="672"/>
      <c r="B1566" s="673"/>
      <c r="C1566" s="454"/>
      <c r="D1566" s="442"/>
      <c r="E1566" s="1027" t="s">
        <v>462</v>
      </c>
      <c r="F1566" s="970"/>
      <c r="G1566" s="970"/>
      <c r="H1566" s="967">
        <v>35817</v>
      </c>
      <c r="I1566" s="704"/>
      <c r="J1566" s="704"/>
      <c r="K1566" s="532"/>
      <c r="L1566" s="970"/>
      <c r="M1566" s="970"/>
      <c r="N1566" s="968">
        <v>23100</v>
      </c>
      <c r="O1566" s="874"/>
      <c r="P1566" s="960"/>
      <c r="Q1566" s="822"/>
      <c r="R1566" s="961"/>
    </row>
    <row r="1567" spans="1:18" s="444" customFormat="1" ht="36" customHeight="1">
      <c r="A1567" s="672"/>
      <c r="B1567" s="673"/>
      <c r="C1567" s="454"/>
      <c r="D1567" s="442"/>
      <c r="E1567" s="1027" t="s">
        <v>463</v>
      </c>
      <c r="F1567" s="970"/>
      <c r="G1567" s="970"/>
      <c r="H1567" s="967">
        <v>0</v>
      </c>
      <c r="I1567" s="704"/>
      <c r="J1567" s="704"/>
      <c r="K1567" s="532"/>
      <c r="L1567" s="970"/>
      <c r="M1567" s="970"/>
      <c r="N1567" s="968">
        <v>0</v>
      </c>
      <c r="O1567" s="874"/>
      <c r="P1567" s="960"/>
      <c r="Q1567" s="822"/>
      <c r="R1567" s="961"/>
    </row>
    <row r="1568" spans="1:18" s="444" customFormat="1" ht="57.75" customHeight="1">
      <c r="A1568" s="672"/>
      <c r="B1568" s="673"/>
      <c r="C1568" s="454"/>
      <c r="D1568" s="442"/>
      <c r="E1568" s="1027" t="s">
        <v>464</v>
      </c>
      <c r="F1568" s="970"/>
      <c r="G1568" s="970"/>
      <c r="H1568" s="967">
        <v>0</v>
      </c>
      <c r="I1568" s="704"/>
      <c r="J1568" s="704"/>
      <c r="K1568" s="532"/>
      <c r="L1568" s="970"/>
      <c r="M1568" s="970"/>
      <c r="N1568" s="968">
        <v>0</v>
      </c>
      <c r="O1568" s="874"/>
      <c r="P1568" s="960"/>
      <c r="Q1568" s="822"/>
      <c r="R1568" s="961"/>
    </row>
    <row r="1569" spans="1:18" s="444" customFormat="1" ht="36" customHeight="1">
      <c r="A1569" s="672"/>
      <c r="B1569" s="673"/>
      <c r="C1569" s="454"/>
      <c r="D1569" s="442"/>
      <c r="E1569" s="1027" t="s">
        <v>465</v>
      </c>
      <c r="F1569" s="970"/>
      <c r="G1569" s="970"/>
      <c r="H1569" s="967">
        <v>0</v>
      </c>
      <c r="I1569" s="704"/>
      <c r="J1569" s="704"/>
      <c r="K1569" s="532"/>
      <c r="L1569" s="970"/>
      <c r="M1569" s="970"/>
      <c r="N1569" s="968">
        <v>0</v>
      </c>
      <c r="O1569" s="874"/>
      <c r="P1569" s="960"/>
      <c r="Q1569" s="822"/>
      <c r="R1569" s="961"/>
    </row>
    <row r="1570" spans="1:18" s="444" customFormat="1" ht="36" customHeight="1">
      <c r="A1570" s="672"/>
      <c r="B1570" s="673"/>
      <c r="C1570" s="454"/>
      <c r="D1570" s="442"/>
      <c r="E1570" s="1027" t="s">
        <v>466</v>
      </c>
      <c r="F1570" s="970"/>
      <c r="G1570" s="970"/>
      <c r="H1570" s="967">
        <v>0</v>
      </c>
      <c r="I1570" s="704"/>
      <c r="J1570" s="704"/>
      <c r="K1570" s="532"/>
      <c r="L1570" s="970"/>
      <c r="M1570" s="970"/>
      <c r="N1570" s="968">
        <v>0</v>
      </c>
      <c r="O1570" s="874"/>
      <c r="P1570" s="960"/>
      <c r="Q1570" s="822"/>
      <c r="R1570" s="961"/>
    </row>
    <row r="1571" spans="1:18" s="444" customFormat="1" ht="36" customHeight="1">
      <c r="A1571" s="672"/>
      <c r="B1571" s="673"/>
      <c r="C1571" s="454"/>
      <c r="D1571" s="442"/>
      <c r="E1571" s="1027" t="s">
        <v>492</v>
      </c>
      <c r="F1571" s="970"/>
      <c r="G1571" s="970"/>
      <c r="H1571" s="967">
        <v>1674.81</v>
      </c>
      <c r="I1571" s="704"/>
      <c r="J1571" s="704"/>
      <c r="K1571" s="532"/>
      <c r="L1571" s="970"/>
      <c r="M1571" s="970"/>
      <c r="N1571" s="968">
        <v>0</v>
      </c>
      <c r="O1571" s="874"/>
      <c r="P1571" s="960"/>
      <c r="Q1571" s="822"/>
      <c r="R1571" s="961"/>
    </row>
    <row r="1572" spans="1:18" s="444" customFormat="1" ht="57" customHeight="1">
      <c r="A1572" s="672"/>
      <c r="B1572" s="673"/>
      <c r="C1572" s="1017"/>
      <c r="D1572" s="1018"/>
      <c r="E1572" s="1019" t="s">
        <v>467</v>
      </c>
      <c r="F1572" s="1020">
        <v>117300</v>
      </c>
      <c r="G1572" s="1020">
        <v>111778</v>
      </c>
      <c r="H1572" s="1020">
        <v>74715.13</v>
      </c>
      <c r="I1572" s="1021"/>
      <c r="J1572" s="1021"/>
      <c r="K1572" s="1022"/>
      <c r="L1572" s="1020">
        <v>0</v>
      </c>
      <c r="M1572" s="1020">
        <v>0</v>
      </c>
      <c r="N1572" s="1020">
        <v>0</v>
      </c>
      <c r="O1572" s="933">
        <v>0</v>
      </c>
      <c r="P1572" s="960" t="s">
        <v>286</v>
      </c>
      <c r="Q1572" s="822"/>
      <c r="R1572" s="961"/>
    </row>
    <row r="1573" spans="1:18" s="179" customFormat="1" ht="51" customHeight="1">
      <c r="A1573" s="433"/>
      <c r="B1573" s="78">
        <v>85404</v>
      </c>
      <c r="C1573" s="77"/>
      <c r="D1573" s="181"/>
      <c r="E1573" s="391" t="s">
        <v>252</v>
      </c>
      <c r="F1573" s="414">
        <f t="shared" ref="F1573:L1573" si="207">SUM(F1574:F1576)</f>
        <v>0</v>
      </c>
      <c r="G1573" s="414">
        <f t="shared" si="207"/>
        <v>0</v>
      </c>
      <c r="H1573" s="414">
        <f t="shared" si="207"/>
        <v>0</v>
      </c>
      <c r="I1573" s="414">
        <f t="shared" si="207"/>
        <v>0</v>
      </c>
      <c r="J1573" s="414">
        <f t="shared" si="207"/>
        <v>0</v>
      </c>
      <c r="K1573" s="414">
        <f t="shared" si="207"/>
        <v>120200</v>
      </c>
      <c r="L1573" s="95">
        <f t="shared" si="207"/>
        <v>120200</v>
      </c>
      <c r="M1573" s="95">
        <f>SUM(M1574:M1576)</f>
        <v>120200</v>
      </c>
      <c r="N1573" s="95">
        <f>SUM(N1574:N1576)</f>
        <v>73696.87000000001</v>
      </c>
      <c r="O1573" s="868">
        <f>N1573/M1573</f>
        <v>0.61311871880199675</v>
      </c>
      <c r="P1573" s="782" t="s">
        <v>286</v>
      </c>
    </row>
    <row r="1574" spans="1:18" s="438" customFormat="1" ht="69.75" customHeight="1">
      <c r="A1574" s="558"/>
      <c r="B1574" s="475"/>
      <c r="C1574" s="559">
        <v>1</v>
      </c>
      <c r="D1574" s="560"/>
      <c r="E1574" s="561" t="s">
        <v>239</v>
      </c>
      <c r="F1574" s="562"/>
      <c r="G1574" s="562"/>
      <c r="H1574" s="562"/>
      <c r="I1574" s="562"/>
      <c r="J1574" s="562"/>
      <c r="K1574" s="564">
        <f>83000-4000</f>
        <v>79000</v>
      </c>
      <c r="L1574" s="563">
        <f t="shared" ref="L1574" si="208">SUM(F1574:K1574)</f>
        <v>79000</v>
      </c>
      <c r="M1574" s="563">
        <v>79000</v>
      </c>
      <c r="N1574" s="563">
        <v>35563.01</v>
      </c>
      <c r="O1574" s="872">
        <f>N1574/M1574</f>
        <v>0.45016468354430383</v>
      </c>
      <c r="P1574" s="761" t="s">
        <v>286</v>
      </c>
    </row>
    <row r="1575" spans="1:18" s="438" customFormat="1" ht="69.75" customHeight="1">
      <c r="A1575" s="558"/>
      <c r="B1575" s="475"/>
      <c r="C1575" s="559">
        <v>2</v>
      </c>
      <c r="D1575" s="560"/>
      <c r="E1575" s="561" t="s">
        <v>168</v>
      </c>
      <c r="F1575" s="562"/>
      <c r="G1575" s="562"/>
      <c r="H1575" s="562"/>
      <c r="I1575" s="562"/>
      <c r="J1575" s="562"/>
      <c r="K1575" s="564">
        <f>32000+4200</f>
        <v>36200</v>
      </c>
      <c r="L1575" s="563">
        <f t="shared" ref="L1575" si="209">SUM(F1575:K1575)</f>
        <v>36200</v>
      </c>
      <c r="M1575" s="563">
        <v>36200</v>
      </c>
      <c r="N1575" s="563">
        <v>35563.040000000001</v>
      </c>
      <c r="O1575" s="872">
        <f t="shared" ref="O1575:O1576" si="210">N1575/M1575</f>
        <v>0.98240441988950278</v>
      </c>
      <c r="P1575" s="761" t="s">
        <v>286</v>
      </c>
    </row>
    <row r="1576" spans="1:18" s="438" customFormat="1" ht="69.75" customHeight="1">
      <c r="A1576" s="558"/>
      <c r="B1576" s="475"/>
      <c r="C1576" s="559">
        <v>3</v>
      </c>
      <c r="D1576" s="560"/>
      <c r="E1576" s="561" t="s">
        <v>243</v>
      </c>
      <c r="F1576" s="562"/>
      <c r="G1576" s="562"/>
      <c r="H1576" s="562"/>
      <c r="I1576" s="562"/>
      <c r="J1576" s="562"/>
      <c r="K1576" s="564">
        <v>5000</v>
      </c>
      <c r="L1576" s="563">
        <f t="shared" ref="L1576" si="211">SUM(F1576:K1576)</f>
        <v>5000</v>
      </c>
      <c r="M1576" s="563">
        <v>5000</v>
      </c>
      <c r="N1576" s="563">
        <v>2570.8200000000002</v>
      </c>
      <c r="O1576" s="872">
        <f t="shared" si="210"/>
        <v>0.51416400000000007</v>
      </c>
      <c r="P1576" s="761" t="s">
        <v>286</v>
      </c>
    </row>
    <row r="1577" spans="1:18" s="1006" customFormat="1" ht="54.75" customHeight="1">
      <c r="A1577" s="1004"/>
      <c r="B1577" s="78">
        <v>85415</v>
      </c>
      <c r="C1577" s="1005"/>
      <c r="D1577" s="181"/>
      <c r="E1577" s="391" t="s">
        <v>559</v>
      </c>
      <c r="F1577" s="95" t="e">
        <f>#REF!</f>
        <v>#REF!</v>
      </c>
      <c r="G1577" s="95" t="e">
        <f>#REF!</f>
        <v>#REF!</v>
      </c>
      <c r="H1577" s="95" t="e">
        <f>#REF!</f>
        <v>#REF!</v>
      </c>
      <c r="I1577" s="95" t="e">
        <f>#REF!</f>
        <v>#REF!</v>
      </c>
      <c r="J1577" s="95" t="e">
        <f>#REF!</f>
        <v>#REF!</v>
      </c>
      <c r="K1577" s="95" t="e">
        <f>#REF!</f>
        <v>#REF!</v>
      </c>
      <c r="L1577" s="95">
        <v>0</v>
      </c>
      <c r="M1577" s="95">
        <f>M1578</f>
        <v>52700</v>
      </c>
      <c r="N1577" s="95">
        <f>N1578</f>
        <v>50349</v>
      </c>
      <c r="O1577" s="868">
        <f t="shared" ref="O1577:O1579" si="212">N1577/M1577</f>
        <v>0.95538899430740043</v>
      </c>
      <c r="P1577" s="776" t="s">
        <v>286</v>
      </c>
      <c r="Q1577" s="776"/>
      <c r="R1577" s="776"/>
    </row>
    <row r="1578" spans="1:18" s="1010" customFormat="1" ht="65.25" customHeight="1">
      <c r="A1578" s="684"/>
      <c r="B1578" s="677"/>
      <c r="C1578" s="1007">
        <v>1</v>
      </c>
      <c r="D1578" s="1008"/>
      <c r="E1578" s="1009" t="s">
        <v>560</v>
      </c>
      <c r="F1578" s="995">
        <f>F1579</f>
        <v>0</v>
      </c>
      <c r="G1578" s="995">
        <f t="shared" ref="G1578:N1578" si="213">G1579</f>
        <v>0</v>
      </c>
      <c r="H1578" s="995">
        <f t="shared" si="213"/>
        <v>0</v>
      </c>
      <c r="I1578" s="995">
        <f t="shared" si="213"/>
        <v>0</v>
      </c>
      <c r="J1578" s="995">
        <f t="shared" si="213"/>
        <v>0</v>
      </c>
      <c r="K1578" s="995">
        <f t="shared" si="213"/>
        <v>0</v>
      </c>
      <c r="L1578" s="995">
        <f t="shared" si="213"/>
        <v>0</v>
      </c>
      <c r="M1578" s="995">
        <f t="shared" si="213"/>
        <v>52700</v>
      </c>
      <c r="N1578" s="995">
        <f t="shared" si="213"/>
        <v>50349</v>
      </c>
      <c r="O1578" s="882">
        <f t="shared" si="212"/>
        <v>0.95538899430740043</v>
      </c>
      <c r="P1578" s="789" t="s">
        <v>286</v>
      </c>
      <c r="Q1578" s="789"/>
      <c r="R1578" s="789"/>
    </row>
    <row r="1579" spans="1:18" s="1010" customFormat="1" ht="68.25" customHeight="1">
      <c r="A1579" s="684"/>
      <c r="B1579" s="677"/>
      <c r="C1579" s="659"/>
      <c r="D1579" s="447"/>
      <c r="E1579" s="1011" t="s">
        <v>561</v>
      </c>
      <c r="F1579" s="661">
        <v>0</v>
      </c>
      <c r="G1579" s="1012"/>
      <c r="H1579" s="1013"/>
      <c r="I1579" s="661"/>
      <c r="J1579" s="1013"/>
      <c r="K1579" s="679"/>
      <c r="L1579" s="661">
        <f>SUM(L1581+L1582)</f>
        <v>0</v>
      </c>
      <c r="M1579" s="661">
        <f>SUM(M1581+M1582)</f>
        <v>52700</v>
      </c>
      <c r="N1579" s="661">
        <f>SUM(N1581+N1582)</f>
        <v>50349</v>
      </c>
      <c r="O1579" s="882">
        <f t="shared" si="212"/>
        <v>0.95538899430740043</v>
      </c>
      <c r="P1579" s="789" t="s">
        <v>286</v>
      </c>
      <c r="Q1579" s="789"/>
      <c r="R1579" s="789"/>
    </row>
    <row r="1580" spans="1:18" s="1010" customFormat="1" ht="36" customHeight="1">
      <c r="A1580" s="684"/>
      <c r="B1580" s="677"/>
      <c r="C1580" s="63"/>
      <c r="D1580" s="447"/>
      <c r="E1580" s="1014" t="s">
        <v>16</v>
      </c>
      <c r="F1580" s="661"/>
      <c r="G1580" s="1012"/>
      <c r="H1580" s="1013"/>
      <c r="I1580" s="661"/>
      <c r="J1580" s="1013"/>
      <c r="K1580" s="679"/>
      <c r="L1580" s="661"/>
      <c r="M1580" s="661"/>
      <c r="N1580" s="1015"/>
      <c r="O1580" s="882"/>
      <c r="P1580" s="789"/>
      <c r="Q1580" s="789"/>
      <c r="R1580" s="789"/>
    </row>
    <row r="1581" spans="1:18" s="1010" customFormat="1" ht="36" customHeight="1">
      <c r="A1581" s="684"/>
      <c r="B1581" s="677"/>
      <c r="C1581" s="63"/>
      <c r="D1581" s="447" t="s">
        <v>3</v>
      </c>
      <c r="E1581" s="1014" t="s">
        <v>563</v>
      </c>
      <c r="F1581" s="661"/>
      <c r="G1581" s="1012"/>
      <c r="H1581" s="1013"/>
      <c r="I1581" s="661"/>
      <c r="J1581" s="1013"/>
      <c r="K1581" s="679"/>
      <c r="L1581" s="675">
        <v>0</v>
      </c>
      <c r="M1581" s="675">
        <v>51500</v>
      </c>
      <c r="N1581" s="1016">
        <v>50349</v>
      </c>
      <c r="O1581" s="921"/>
      <c r="P1581" s="789"/>
      <c r="Q1581" s="789"/>
      <c r="R1581" s="789"/>
    </row>
    <row r="1582" spans="1:18" s="1010" customFormat="1" ht="36" customHeight="1">
      <c r="A1582" s="684"/>
      <c r="B1582" s="677"/>
      <c r="C1582" s="63"/>
      <c r="D1582" s="447" t="s">
        <v>3</v>
      </c>
      <c r="E1582" s="1014" t="s">
        <v>564</v>
      </c>
      <c r="F1582" s="661"/>
      <c r="G1582" s="1012"/>
      <c r="H1582" s="1013"/>
      <c r="I1582" s="661"/>
      <c r="J1582" s="1013"/>
      <c r="K1582" s="679"/>
      <c r="L1582" s="675">
        <v>0</v>
      </c>
      <c r="M1582" s="675">
        <v>1200</v>
      </c>
      <c r="N1582" s="1016">
        <v>0</v>
      </c>
      <c r="O1582" s="921"/>
      <c r="P1582" s="789"/>
      <c r="Q1582" s="789"/>
      <c r="R1582" s="789"/>
    </row>
    <row r="1583" spans="1:18" s="1010" customFormat="1" ht="36" customHeight="1">
      <c r="A1583" s="684"/>
      <c r="B1583" s="677"/>
      <c r="C1583" s="63"/>
      <c r="D1583" s="447"/>
      <c r="E1583" s="1277" t="s">
        <v>562</v>
      </c>
      <c r="F1583" s="1277"/>
      <c r="G1583" s="1277"/>
      <c r="H1583" s="1277"/>
      <c r="I1583" s="1277"/>
      <c r="J1583" s="1277"/>
      <c r="K1583" s="1277"/>
      <c r="L1583" s="1277"/>
      <c r="M1583" s="1277"/>
      <c r="N1583" s="1277"/>
      <c r="O1583" s="1278"/>
      <c r="P1583" s="789"/>
      <c r="Q1583" s="789"/>
      <c r="R1583" s="789"/>
    </row>
    <row r="1584" spans="1:18" s="124" customFormat="1" ht="50.25" customHeight="1">
      <c r="A1584" s="86">
        <v>17</v>
      </c>
      <c r="B1584" s="85">
        <v>855</v>
      </c>
      <c r="C1584" s="84"/>
      <c r="D1584" s="83"/>
      <c r="E1584" s="126" t="s">
        <v>215</v>
      </c>
      <c r="F1584" s="80">
        <f t="shared" ref="F1584:L1584" si="214">F1585+F1606+F1649+F1668+F1672</f>
        <v>28474500</v>
      </c>
      <c r="G1584" s="80">
        <f t="shared" si="214"/>
        <v>0</v>
      </c>
      <c r="H1584" s="80">
        <f t="shared" si="214"/>
        <v>0</v>
      </c>
      <c r="I1584" s="80">
        <f t="shared" si="214"/>
        <v>0</v>
      </c>
      <c r="J1584" s="80">
        <f t="shared" si="214"/>
        <v>0</v>
      </c>
      <c r="K1584" s="80">
        <f t="shared" si="214"/>
        <v>577224</v>
      </c>
      <c r="L1584" s="80">
        <f t="shared" si="214"/>
        <v>29051724</v>
      </c>
      <c r="M1584" s="80">
        <f>M1585+M1606+M1647+M1649+M1668+M1672</f>
        <v>29692284</v>
      </c>
      <c r="N1584" s="80">
        <f>N1585+N1606+N1647+N1649+N1668+N1672</f>
        <v>16068488.460000003</v>
      </c>
      <c r="O1584" s="867">
        <f>N1584/M1584</f>
        <v>0.54116714160486956</v>
      </c>
      <c r="P1584" s="760" t="s">
        <v>286</v>
      </c>
    </row>
    <row r="1585" spans="1:18" s="232" customFormat="1" ht="52.5" customHeight="1">
      <c r="A1585" s="433"/>
      <c r="B1585" s="177">
        <v>85501</v>
      </c>
      <c r="C1585" s="176"/>
      <c r="D1585" s="197"/>
      <c r="E1585" s="196" t="s">
        <v>216</v>
      </c>
      <c r="F1585" s="414">
        <f t="shared" ref="F1585:L1585" si="215">F1586+F1605</f>
        <v>22073000</v>
      </c>
      <c r="G1585" s="414">
        <f t="shared" si="215"/>
        <v>0</v>
      </c>
      <c r="H1585" s="414">
        <f t="shared" si="215"/>
        <v>0</v>
      </c>
      <c r="I1585" s="414">
        <f t="shared" si="215"/>
        <v>0</v>
      </c>
      <c r="J1585" s="414">
        <f t="shared" si="215"/>
        <v>0</v>
      </c>
      <c r="K1585" s="414">
        <f t="shared" si="215"/>
        <v>28000</v>
      </c>
      <c r="L1585" s="95">
        <f t="shared" si="215"/>
        <v>22101000</v>
      </c>
      <c r="M1585" s="95">
        <f>M1586+M1605</f>
        <v>22101000</v>
      </c>
      <c r="N1585" s="95">
        <f>N1586+N1605</f>
        <v>12518431.57</v>
      </c>
      <c r="O1585" s="868">
        <f>N1585/M1585</f>
        <v>0.56641923759105928</v>
      </c>
      <c r="P1585" s="785" t="s">
        <v>286</v>
      </c>
      <c r="Q1585" s="232" t="s">
        <v>286</v>
      </c>
    </row>
    <row r="1586" spans="1:18" s="709" customFormat="1" ht="99.6" customHeight="1">
      <c r="A1586" s="688"/>
      <c r="B1586" s="682"/>
      <c r="C1586" s="453">
        <v>1</v>
      </c>
      <c r="D1586" s="683"/>
      <c r="E1586" s="676" t="s">
        <v>224</v>
      </c>
      <c r="F1586" s="503">
        <v>22073000</v>
      </c>
      <c r="G1586" s="392"/>
      <c r="H1586" s="392"/>
      <c r="I1586" s="392"/>
      <c r="J1586" s="392"/>
      <c r="K1586" s="392"/>
      <c r="L1586" s="392">
        <f>L1587+L1593+L1596</f>
        <v>22073000</v>
      </c>
      <c r="M1586" s="392">
        <f>M1587+M1593+M1596</f>
        <v>22073000</v>
      </c>
      <c r="N1586" s="392">
        <f>N1587+N1593+N1596</f>
        <v>12515757.23</v>
      </c>
      <c r="O1586" s="890">
        <f>N1586/M1586</f>
        <v>0.56701659176369323</v>
      </c>
      <c r="P1586" s="781" t="s">
        <v>286</v>
      </c>
      <c r="Q1586" s="709" t="s">
        <v>286</v>
      </c>
    </row>
    <row r="1587" spans="1:18" s="1080" customFormat="1" ht="50.1" customHeight="1">
      <c r="A1587" s="1070"/>
      <c r="B1587" s="1071"/>
      <c r="C1587" s="1072"/>
      <c r="D1587" s="1073" t="s">
        <v>674</v>
      </c>
      <c r="E1587" s="1074" t="s">
        <v>435</v>
      </c>
      <c r="F1587" s="1075">
        <f>100045+11595+59000+2740</f>
        <v>173380</v>
      </c>
      <c r="G1587" s="1075">
        <f>G1588</f>
        <v>0</v>
      </c>
      <c r="H1587" s="1075">
        <f>H1588</f>
        <v>0</v>
      </c>
      <c r="I1587" s="1075">
        <f>I1588</f>
        <v>0</v>
      </c>
      <c r="J1587" s="1075">
        <f>J1588</f>
        <v>0</v>
      </c>
      <c r="K1587" s="1075">
        <f>K1588</f>
        <v>0</v>
      </c>
      <c r="L1587" s="1075">
        <f>SUM(L1589:L1592)</f>
        <v>141738</v>
      </c>
      <c r="M1587" s="1075">
        <f>SUM(M1589:M1592)</f>
        <v>141738</v>
      </c>
      <c r="N1587" s="1075">
        <f>SUM(N1589:N1592)</f>
        <v>69142.149999999994</v>
      </c>
      <c r="O1587" s="1076">
        <f t="shared" ref="O1587" si="216">N1587/M1587</f>
        <v>0.487816605285809</v>
      </c>
      <c r="P1587" s="1077" t="s">
        <v>286</v>
      </c>
      <c r="Q1587" s="1078" t="s">
        <v>286</v>
      </c>
      <c r="R1587" s="1079"/>
    </row>
    <row r="1588" spans="1:18" s="1153" customFormat="1" ht="31.5" customHeight="1">
      <c r="A1588" s="1070"/>
      <c r="B1588" s="1145"/>
      <c r="C1588" s="1072"/>
      <c r="D1588" s="1073"/>
      <c r="E1588" s="1146" t="s">
        <v>16</v>
      </c>
      <c r="F1588" s="1147"/>
      <c r="G1588" s="1147"/>
      <c r="H1588" s="1147"/>
      <c r="I1588" s="1147"/>
      <c r="J1588" s="1148"/>
      <c r="K1588" s="1148"/>
      <c r="L1588" s="1148"/>
      <c r="M1588" s="1148"/>
      <c r="N1588" s="1148"/>
      <c r="O1588" s="1149"/>
      <c r="P1588" s="1150"/>
      <c r="Q1588" s="1151"/>
      <c r="R1588" s="1152"/>
    </row>
    <row r="1589" spans="1:18" s="1094" customFormat="1" ht="58.95" customHeight="1">
      <c r="A1589" s="1081"/>
      <c r="B1589" s="1082"/>
      <c r="C1589" s="1083"/>
      <c r="D1589" s="1084"/>
      <c r="E1589" s="1085" t="s">
        <v>748</v>
      </c>
      <c r="F1589" s="1086"/>
      <c r="G1589" s="1086"/>
      <c r="H1589" s="1086"/>
      <c r="I1589" s="1086"/>
      <c r="J1589" s="1087"/>
      <c r="K1589" s="1087"/>
      <c r="L1589" s="1088">
        <v>107540</v>
      </c>
      <c r="M1589" s="1088">
        <v>107540</v>
      </c>
      <c r="N1589" s="1089">
        <v>49815.45</v>
      </c>
      <c r="O1589" s="1090">
        <f>N1589/M1589</f>
        <v>0.46322717128510321</v>
      </c>
      <c r="P1589" s="1091" t="s">
        <v>286</v>
      </c>
      <c r="Q1589" s="1092" t="s">
        <v>286</v>
      </c>
      <c r="R1589" s="1093"/>
    </row>
    <row r="1590" spans="1:18" s="1094" customFormat="1" ht="48" customHeight="1">
      <c r="A1590" s="1081"/>
      <c r="B1590" s="1082"/>
      <c r="C1590" s="1083"/>
      <c r="D1590" s="1084"/>
      <c r="E1590" s="1085" t="s">
        <v>711</v>
      </c>
      <c r="F1590" s="1086"/>
      <c r="G1590" s="1086"/>
      <c r="H1590" s="1086"/>
      <c r="I1590" s="1086"/>
      <c r="J1590" s="1087"/>
      <c r="K1590" s="1087"/>
      <c r="L1590" s="1088">
        <v>8198</v>
      </c>
      <c r="M1590" s="1088">
        <v>8198</v>
      </c>
      <c r="N1590" s="1089">
        <v>8197.48</v>
      </c>
      <c r="O1590" s="1090">
        <f>N1590/M1590</f>
        <v>0.99993656989509627</v>
      </c>
      <c r="P1590" s="1091" t="s">
        <v>286</v>
      </c>
      <c r="Q1590" s="1092" t="s">
        <v>286</v>
      </c>
      <c r="R1590" s="1093"/>
    </row>
    <row r="1591" spans="1:18" s="1094" customFormat="1" ht="48" customHeight="1">
      <c r="A1591" s="1081"/>
      <c r="B1591" s="1082"/>
      <c r="C1591" s="1083"/>
      <c r="D1591" s="1084"/>
      <c r="E1591" s="1085" t="s">
        <v>712</v>
      </c>
      <c r="F1591" s="1086"/>
      <c r="G1591" s="1086"/>
      <c r="H1591" s="1086"/>
      <c r="I1591" s="1086"/>
      <c r="J1591" s="1087"/>
      <c r="K1591" s="1087"/>
      <c r="L1591" s="1088">
        <f>18502+2498</f>
        <v>21000</v>
      </c>
      <c r="M1591" s="1088">
        <f>18502+2498</f>
        <v>21000</v>
      </c>
      <c r="N1591" s="1089">
        <f>9883.86+1245.36</f>
        <v>11129.220000000001</v>
      </c>
      <c r="O1591" s="1090">
        <f>N1591/M1591</f>
        <v>0.52996285714285718</v>
      </c>
      <c r="P1591" s="1091" t="s">
        <v>286</v>
      </c>
      <c r="Q1591" s="1092" t="s">
        <v>286</v>
      </c>
      <c r="R1591" s="1093"/>
    </row>
    <row r="1592" spans="1:18" s="1094" customFormat="1" ht="48" customHeight="1">
      <c r="A1592" s="1081"/>
      <c r="B1592" s="1082"/>
      <c r="C1592" s="1083"/>
      <c r="D1592" s="1084"/>
      <c r="E1592" s="1085" t="s">
        <v>737</v>
      </c>
      <c r="F1592" s="1086"/>
      <c r="G1592" s="1086"/>
      <c r="H1592" s="1086"/>
      <c r="I1592" s="1086"/>
      <c r="J1592" s="1087"/>
      <c r="K1592" s="1087"/>
      <c r="L1592" s="1088">
        <v>5000</v>
      </c>
      <c r="M1592" s="1088">
        <v>5000</v>
      </c>
      <c r="N1592" s="1089">
        <v>0</v>
      </c>
      <c r="O1592" s="1090">
        <f>N1592/M1592</f>
        <v>0</v>
      </c>
      <c r="P1592" s="1091" t="s">
        <v>286</v>
      </c>
      <c r="Q1592" s="1092" t="s">
        <v>286</v>
      </c>
      <c r="R1592" s="1093"/>
    </row>
    <row r="1593" spans="1:18" s="1080" customFormat="1" ht="50.1" customHeight="1">
      <c r="A1593" s="1070"/>
      <c r="B1593" s="1071"/>
      <c r="C1593" s="1072"/>
      <c r="D1593" s="1073" t="s">
        <v>678</v>
      </c>
      <c r="E1593" s="1074" t="s">
        <v>738</v>
      </c>
      <c r="F1593" s="1075">
        <v>4866270</v>
      </c>
      <c r="G1593" s="1075" t="e">
        <f>#REF!</f>
        <v>#REF!</v>
      </c>
      <c r="H1593" s="1075" t="e">
        <f>#REF!</f>
        <v>#REF!</v>
      </c>
      <c r="I1593" s="1075" t="e">
        <f>#REF!</f>
        <v>#REF!</v>
      </c>
      <c r="J1593" s="1075" t="e">
        <f>#REF!</f>
        <v>#REF!</v>
      </c>
      <c r="K1593" s="1075" t="e">
        <f>#REF!</f>
        <v>#REF!</v>
      </c>
      <c r="L1593" s="1075">
        <f>L1595</f>
        <v>21886960</v>
      </c>
      <c r="M1593" s="1075">
        <f t="shared" ref="M1593:N1593" si="217">M1595</f>
        <v>21886960</v>
      </c>
      <c r="N1593" s="1075">
        <f t="shared" si="217"/>
        <v>12428733.98</v>
      </c>
      <c r="O1593" s="1076">
        <f>N1593/M1593</f>
        <v>0.56786022270795034</v>
      </c>
      <c r="P1593" s="1077" t="s">
        <v>286</v>
      </c>
      <c r="Q1593" s="1078" t="s">
        <v>286</v>
      </c>
      <c r="R1593" s="1079"/>
    </row>
    <row r="1594" spans="1:18" s="1153" customFormat="1" ht="31.5" customHeight="1">
      <c r="A1594" s="1070"/>
      <c r="B1594" s="1145"/>
      <c r="C1594" s="1072"/>
      <c r="D1594" s="1073"/>
      <c r="E1594" s="1146" t="s">
        <v>16</v>
      </c>
      <c r="F1594" s="1147"/>
      <c r="G1594" s="1147"/>
      <c r="H1594" s="1147"/>
      <c r="I1594" s="1147"/>
      <c r="J1594" s="1148"/>
      <c r="K1594" s="1148"/>
      <c r="L1594" s="1148"/>
      <c r="M1594" s="1148"/>
      <c r="N1594" s="1148"/>
      <c r="O1594" s="1149"/>
      <c r="P1594" s="1150"/>
      <c r="Q1594" s="1151"/>
      <c r="R1594" s="1152"/>
    </row>
    <row r="1595" spans="1:18" s="1168" customFormat="1" ht="36" customHeight="1">
      <c r="A1595" s="1154"/>
      <c r="B1595" s="1155"/>
      <c r="C1595" s="1156"/>
      <c r="D1595" s="1157" t="s">
        <v>3</v>
      </c>
      <c r="E1595" s="1158" t="s">
        <v>739</v>
      </c>
      <c r="F1595" s="1159"/>
      <c r="G1595" s="1160"/>
      <c r="H1595" s="1159"/>
      <c r="I1595" s="1161">
        <v>620044</v>
      </c>
      <c r="J1595" s="1159"/>
      <c r="K1595" s="1162"/>
      <c r="L1595" s="1163">
        <v>21886960</v>
      </c>
      <c r="M1595" s="1164">
        <v>21886960</v>
      </c>
      <c r="N1595" s="1165">
        <v>12428733.98</v>
      </c>
      <c r="O1595" s="1128">
        <f>N1595/M1595</f>
        <v>0.56786022270795034</v>
      </c>
      <c r="P1595" s="1166" t="s">
        <v>286</v>
      </c>
      <c r="Q1595" s="1092" t="s">
        <v>286</v>
      </c>
      <c r="R1595" s="1167"/>
    </row>
    <row r="1596" spans="1:18" s="1123" customFormat="1" ht="50.1" customHeight="1">
      <c r="A1596" s="1112"/>
      <c r="B1596" s="1113"/>
      <c r="C1596" s="1114"/>
      <c r="D1596" s="1115" t="s">
        <v>740</v>
      </c>
      <c r="E1596" s="1116" t="s">
        <v>446</v>
      </c>
      <c r="F1596" s="1117">
        <f>7550+500+500+5500+6300</f>
        <v>20350</v>
      </c>
      <c r="G1596" s="1117"/>
      <c r="H1596" s="1117"/>
      <c r="I1596" s="1117"/>
      <c r="J1596" s="1118"/>
      <c r="K1596" s="1169"/>
      <c r="L1596" s="1170">
        <f>SUM(L1598:L1604)</f>
        <v>44302</v>
      </c>
      <c r="M1596" s="1170">
        <f t="shared" ref="M1596:N1596" si="218">SUM(M1598:M1604)</f>
        <v>44302</v>
      </c>
      <c r="N1596" s="1170">
        <f t="shared" si="218"/>
        <v>17881.099999999999</v>
      </c>
      <c r="O1596" s="1119">
        <f>N1596/M1596</f>
        <v>0.40361834680149877</v>
      </c>
      <c r="P1596" s="1120" t="s">
        <v>286</v>
      </c>
      <c r="Q1596" s="1121" t="s">
        <v>286</v>
      </c>
      <c r="R1596" s="1122"/>
    </row>
    <row r="1597" spans="1:18" s="1181" customFormat="1" ht="30" customHeight="1">
      <c r="A1597" s="1112"/>
      <c r="B1597" s="1171"/>
      <c r="C1597" s="1114"/>
      <c r="D1597" s="1115"/>
      <c r="E1597" s="1172" t="s">
        <v>16</v>
      </c>
      <c r="F1597" s="1173"/>
      <c r="G1597" s="1173"/>
      <c r="H1597" s="1173"/>
      <c r="I1597" s="1173"/>
      <c r="J1597" s="1174"/>
      <c r="K1597" s="1175"/>
      <c r="L1597" s="1176"/>
      <c r="M1597" s="1174"/>
      <c r="N1597" s="1174"/>
      <c r="O1597" s="1177"/>
      <c r="P1597" s="1178"/>
      <c r="Q1597" s="1179"/>
      <c r="R1597" s="1180"/>
    </row>
    <row r="1598" spans="1:18" s="1181" customFormat="1" ht="60.75" customHeight="1">
      <c r="A1598" s="1112"/>
      <c r="B1598" s="1171"/>
      <c r="C1598" s="1114"/>
      <c r="D1598" s="1115"/>
      <c r="E1598" s="1172" t="s">
        <v>741</v>
      </c>
      <c r="F1598" s="1173"/>
      <c r="G1598" s="1173"/>
      <c r="H1598" s="1173"/>
      <c r="I1598" s="1173"/>
      <c r="J1598" s="1174"/>
      <c r="K1598" s="1174"/>
      <c r="L1598" s="1127">
        <v>650</v>
      </c>
      <c r="M1598" s="1127">
        <v>650</v>
      </c>
      <c r="N1598" s="1127">
        <v>650</v>
      </c>
      <c r="O1598" s="1128">
        <f>N1598/M1598</f>
        <v>1</v>
      </c>
      <c r="P1598" s="1178" t="s">
        <v>286</v>
      </c>
      <c r="Q1598" s="1179" t="s">
        <v>286</v>
      </c>
      <c r="R1598" s="1180"/>
    </row>
    <row r="1599" spans="1:18" s="1140" customFormat="1" ht="52.5" customHeight="1">
      <c r="A1599" s="1129"/>
      <c r="B1599" s="1130"/>
      <c r="C1599" s="1131"/>
      <c r="D1599" s="1132"/>
      <c r="E1599" s="1124" t="s">
        <v>742</v>
      </c>
      <c r="F1599" s="1133"/>
      <c r="G1599" s="1133"/>
      <c r="H1599" s="1133"/>
      <c r="I1599" s="1133"/>
      <c r="J1599" s="1134"/>
      <c r="K1599" s="1134"/>
      <c r="L1599" s="1135">
        <v>13209</v>
      </c>
      <c r="M1599" s="1135">
        <v>13209</v>
      </c>
      <c r="N1599" s="1127">
        <v>2232.6799999999998</v>
      </c>
      <c r="O1599" s="1128">
        <f t="shared" ref="O1599:O1604" si="219">N1599/M1599</f>
        <v>0.16902717843894313</v>
      </c>
      <c r="P1599" s="1137" t="s">
        <v>286</v>
      </c>
      <c r="Q1599" s="1138" t="s">
        <v>286</v>
      </c>
      <c r="R1599" s="1139"/>
    </row>
    <row r="1600" spans="1:18" s="1140" customFormat="1" ht="52.5" customHeight="1">
      <c r="A1600" s="1129"/>
      <c r="B1600" s="1130"/>
      <c r="C1600" s="1131"/>
      <c r="D1600" s="1132"/>
      <c r="E1600" s="1124" t="s">
        <v>743</v>
      </c>
      <c r="F1600" s="1133"/>
      <c r="G1600" s="1133"/>
      <c r="H1600" s="1133"/>
      <c r="I1600" s="1133"/>
      <c r="J1600" s="1134"/>
      <c r="K1600" s="1134"/>
      <c r="L1600" s="1135">
        <v>200</v>
      </c>
      <c r="M1600" s="1135">
        <v>200</v>
      </c>
      <c r="N1600" s="1127">
        <v>0</v>
      </c>
      <c r="O1600" s="1128">
        <f t="shared" si="219"/>
        <v>0</v>
      </c>
      <c r="P1600" s="1137" t="s">
        <v>286</v>
      </c>
      <c r="Q1600" s="1138" t="s">
        <v>286</v>
      </c>
      <c r="R1600" s="1139"/>
    </row>
    <row r="1601" spans="1:18" s="1140" customFormat="1" ht="52.5" customHeight="1">
      <c r="A1601" s="1129"/>
      <c r="B1601" s="1130"/>
      <c r="C1601" s="1131"/>
      <c r="D1601" s="1132"/>
      <c r="E1601" s="1124" t="s">
        <v>744</v>
      </c>
      <c r="F1601" s="1133"/>
      <c r="G1601" s="1133"/>
      <c r="H1601" s="1133"/>
      <c r="I1601" s="1133"/>
      <c r="J1601" s="1134"/>
      <c r="K1601" s="1134"/>
      <c r="L1601" s="1135">
        <v>2543</v>
      </c>
      <c r="M1601" s="1135">
        <v>3101</v>
      </c>
      <c r="N1601" s="1127">
        <v>2326</v>
      </c>
      <c r="O1601" s="1128">
        <f t="shared" si="219"/>
        <v>0.75008061915511126</v>
      </c>
      <c r="P1601" s="1137" t="s">
        <v>286</v>
      </c>
      <c r="Q1601" s="1138" t="s">
        <v>286</v>
      </c>
      <c r="R1601" s="1139"/>
    </row>
    <row r="1602" spans="1:18" s="1140" customFormat="1" ht="52.5" customHeight="1">
      <c r="A1602" s="1129"/>
      <c r="B1602" s="1130"/>
      <c r="C1602" s="1131"/>
      <c r="D1602" s="1132"/>
      <c r="E1602" s="1124" t="s">
        <v>745</v>
      </c>
      <c r="F1602" s="1133"/>
      <c r="G1602" s="1133"/>
      <c r="H1602" s="1133"/>
      <c r="I1602" s="1133"/>
      <c r="J1602" s="1134"/>
      <c r="K1602" s="1134"/>
      <c r="L1602" s="1135">
        <v>2500</v>
      </c>
      <c r="M1602" s="1135">
        <v>2500</v>
      </c>
      <c r="N1602" s="1127">
        <v>668.2</v>
      </c>
      <c r="O1602" s="1128">
        <f>N1602/M1602</f>
        <v>0.26728000000000002</v>
      </c>
      <c r="P1602" s="1137" t="s">
        <v>286</v>
      </c>
      <c r="Q1602" s="1138" t="s">
        <v>286</v>
      </c>
      <c r="R1602" s="1139"/>
    </row>
    <row r="1603" spans="1:18" s="1140" customFormat="1" ht="52.5" customHeight="1">
      <c r="A1603" s="1129"/>
      <c r="B1603" s="1130"/>
      <c r="C1603" s="1131"/>
      <c r="D1603" s="1132"/>
      <c r="E1603" s="1124" t="s">
        <v>746</v>
      </c>
      <c r="F1603" s="1133"/>
      <c r="G1603" s="1133"/>
      <c r="H1603" s="1133"/>
      <c r="I1603" s="1133"/>
      <c r="J1603" s="1134"/>
      <c r="K1603" s="1134"/>
      <c r="L1603" s="1135">
        <v>2500</v>
      </c>
      <c r="M1603" s="1135">
        <v>2500</v>
      </c>
      <c r="N1603" s="1127">
        <v>764.81</v>
      </c>
      <c r="O1603" s="1128">
        <f t="shared" ref="O1603" si="220">N1603/M1603</f>
        <v>0.30592399999999997</v>
      </c>
      <c r="P1603" s="1137" t="s">
        <v>286</v>
      </c>
      <c r="Q1603" s="1138" t="s">
        <v>286</v>
      </c>
      <c r="R1603" s="1139"/>
    </row>
    <row r="1604" spans="1:18" s="1140" customFormat="1" ht="52.5" customHeight="1">
      <c r="A1604" s="1129"/>
      <c r="B1604" s="1130"/>
      <c r="C1604" s="1131"/>
      <c r="D1604" s="1132"/>
      <c r="E1604" s="1124" t="s">
        <v>747</v>
      </c>
      <c r="F1604" s="1133"/>
      <c r="G1604" s="1133"/>
      <c r="H1604" s="1133"/>
      <c r="I1604" s="1133"/>
      <c r="J1604" s="1134"/>
      <c r="K1604" s="1134"/>
      <c r="L1604" s="1135">
        <v>22700</v>
      </c>
      <c r="M1604" s="1135">
        <v>22142</v>
      </c>
      <c r="N1604" s="1127">
        <v>11239.41</v>
      </c>
      <c r="O1604" s="1128">
        <f t="shared" si="219"/>
        <v>0.50760590732544486</v>
      </c>
      <c r="P1604" s="1137" t="s">
        <v>286</v>
      </c>
      <c r="Q1604" s="1138" t="s">
        <v>286</v>
      </c>
      <c r="R1604" s="1139"/>
    </row>
    <row r="1605" spans="1:18" s="709" customFormat="1" ht="69.599999999999994" customHeight="1">
      <c r="A1605" s="688"/>
      <c r="B1605" s="689"/>
      <c r="C1605" s="208">
        <v>2</v>
      </c>
      <c r="D1605" s="1346"/>
      <c r="E1605" s="1347" t="s">
        <v>335</v>
      </c>
      <c r="F1605" s="1348"/>
      <c r="G1605" s="1348"/>
      <c r="H1605" s="1348"/>
      <c r="I1605" s="1348"/>
      <c r="J1605" s="1348"/>
      <c r="K1605" s="205">
        <f>2500+500+25000</f>
        <v>28000</v>
      </c>
      <c r="L1605" s="104">
        <f t="shared" ref="L1605" si="221">SUM(F1605:K1605)</f>
        <v>28000</v>
      </c>
      <c r="M1605" s="104">
        <f>28000-3500+3500</f>
        <v>28000</v>
      </c>
      <c r="N1605" s="104">
        <f>2586.61+87.73</f>
        <v>2674.34</v>
      </c>
      <c r="O1605" s="913">
        <f>N1605/M1605</f>
        <v>9.5512142857142865E-2</v>
      </c>
      <c r="P1605" s="781" t="s">
        <v>286</v>
      </c>
      <c r="Q1605" s="709" t="s">
        <v>286</v>
      </c>
    </row>
    <row r="1606" spans="1:18" s="435" customFormat="1" ht="93.75" customHeight="1">
      <c r="A1606" s="433"/>
      <c r="B1606" s="78">
        <v>85502</v>
      </c>
      <c r="C1606" s="77"/>
      <c r="D1606" s="181"/>
      <c r="E1606" s="180" t="s">
        <v>149</v>
      </c>
      <c r="F1606" s="414">
        <f t="shared" ref="F1606:L1606" si="222">F1607+F1641+F1646</f>
        <v>6373000</v>
      </c>
      <c r="G1606" s="414">
        <f t="shared" si="222"/>
        <v>0</v>
      </c>
      <c r="H1606" s="414">
        <f t="shared" si="222"/>
        <v>0</v>
      </c>
      <c r="I1606" s="414">
        <f t="shared" si="222"/>
        <v>0</v>
      </c>
      <c r="J1606" s="414">
        <f t="shared" si="222"/>
        <v>0</v>
      </c>
      <c r="K1606" s="414">
        <f t="shared" si="222"/>
        <v>164224</v>
      </c>
      <c r="L1606" s="95">
        <f t="shared" si="222"/>
        <v>6537224</v>
      </c>
      <c r="M1606" s="95">
        <f t="shared" ref="M1606:N1606" si="223">M1607+M1641+M1646</f>
        <v>6584224</v>
      </c>
      <c r="N1606" s="95">
        <f t="shared" si="223"/>
        <v>3328218.5800000005</v>
      </c>
      <c r="O1606" s="868">
        <f>N1606/M1606</f>
        <v>0.50548380188766373</v>
      </c>
      <c r="P1606" s="776" t="s">
        <v>286</v>
      </c>
      <c r="Q1606" s="435" t="s">
        <v>286</v>
      </c>
    </row>
    <row r="1607" spans="1:18" s="434" customFormat="1" ht="109.2" customHeight="1">
      <c r="A1607" s="433"/>
      <c r="B1607" s="470"/>
      <c r="C1607" s="453">
        <v>1</v>
      </c>
      <c r="D1607" s="449"/>
      <c r="E1607" s="450" t="s">
        <v>223</v>
      </c>
      <c r="F1607" s="423">
        <v>6373000</v>
      </c>
      <c r="G1607" s="423"/>
      <c r="H1607" s="423"/>
      <c r="I1607" s="423"/>
      <c r="J1607" s="423"/>
      <c r="K1607" s="423"/>
      <c r="L1607" s="423">
        <f>L1608+L1613+L1632</f>
        <v>6373000</v>
      </c>
      <c r="M1607" s="423">
        <f t="shared" ref="M1607:N1607" si="224">M1608+M1613+M1632</f>
        <v>6373000</v>
      </c>
      <c r="N1607" s="423">
        <f t="shared" si="224"/>
        <v>3227854.9400000009</v>
      </c>
      <c r="O1607" s="883">
        <f>N1607/M1607</f>
        <v>0.50648908520320113</v>
      </c>
      <c r="P1607" s="776" t="s">
        <v>286</v>
      </c>
      <c r="Q1607" s="434" t="s">
        <v>286</v>
      </c>
    </row>
    <row r="1608" spans="1:18" s="1080" customFormat="1" ht="50.1" customHeight="1">
      <c r="A1608" s="1070"/>
      <c r="B1608" s="1071"/>
      <c r="C1608" s="1072"/>
      <c r="D1608" s="1073" t="s">
        <v>674</v>
      </c>
      <c r="E1608" s="1074" t="s">
        <v>435</v>
      </c>
      <c r="F1608" s="1075">
        <f>100045+11595+59000+2740</f>
        <v>173380</v>
      </c>
      <c r="G1608" s="1075">
        <f>G1609</f>
        <v>0</v>
      </c>
      <c r="H1608" s="1075">
        <f>H1609</f>
        <v>0</v>
      </c>
      <c r="I1608" s="1075">
        <f>I1609</f>
        <v>0</v>
      </c>
      <c r="J1608" s="1075">
        <f>J1609</f>
        <v>0</v>
      </c>
      <c r="K1608" s="1075">
        <f>K1609</f>
        <v>0</v>
      </c>
      <c r="L1608" s="1075">
        <f>SUM(L1610:L1612)</f>
        <v>425683</v>
      </c>
      <c r="M1608" s="1075">
        <f>SUM(M1610:M1612)</f>
        <v>423915</v>
      </c>
      <c r="N1608" s="1075">
        <f>SUM(N1610:N1612)</f>
        <v>237364.08000000002</v>
      </c>
      <c r="O1608" s="1076">
        <f t="shared" ref="O1608" si="225">N1608/M1608</f>
        <v>0.55993319415448861</v>
      </c>
      <c r="P1608" s="1077" t="s">
        <v>286</v>
      </c>
      <c r="Q1608" s="1078" t="s">
        <v>286</v>
      </c>
      <c r="R1608" s="1079"/>
    </row>
    <row r="1609" spans="1:18" s="1153" customFormat="1" ht="31.5" customHeight="1">
      <c r="A1609" s="1070"/>
      <c r="B1609" s="1145"/>
      <c r="C1609" s="1072"/>
      <c r="D1609" s="1073"/>
      <c r="E1609" s="1146" t="s">
        <v>16</v>
      </c>
      <c r="F1609" s="1147"/>
      <c r="G1609" s="1147"/>
      <c r="H1609" s="1147"/>
      <c r="I1609" s="1147"/>
      <c r="J1609" s="1148"/>
      <c r="K1609" s="1148"/>
      <c r="L1609" s="1148"/>
      <c r="M1609" s="1148"/>
      <c r="N1609" s="1148"/>
      <c r="O1609" s="1149"/>
      <c r="P1609" s="1150"/>
      <c r="Q1609" s="1151"/>
      <c r="R1609" s="1152"/>
    </row>
    <row r="1610" spans="1:18" s="1094" customFormat="1" ht="48" customHeight="1">
      <c r="A1610" s="1081"/>
      <c r="B1610" s="1082"/>
      <c r="C1610" s="1083"/>
      <c r="D1610" s="1084"/>
      <c r="E1610" s="1085" t="s">
        <v>771</v>
      </c>
      <c r="F1610" s="1086"/>
      <c r="G1610" s="1086"/>
      <c r="H1610" s="1086"/>
      <c r="I1610" s="1086"/>
      <c r="J1610" s="1087"/>
      <c r="K1610" s="1087"/>
      <c r="L1610" s="1088">
        <v>120141</v>
      </c>
      <c r="M1610" s="1088">
        <v>119741</v>
      </c>
      <c r="N1610" s="1089">
        <v>44427.47</v>
      </c>
      <c r="O1610" s="1090">
        <f>N1610/M1610</f>
        <v>0.37102972248436211</v>
      </c>
      <c r="P1610" s="1091" t="s">
        <v>286</v>
      </c>
      <c r="Q1610" s="1092" t="s">
        <v>286</v>
      </c>
      <c r="R1610" s="1093"/>
    </row>
    <row r="1611" spans="1:18" s="1094" customFormat="1" ht="48" customHeight="1">
      <c r="A1611" s="1081"/>
      <c r="B1611" s="1082"/>
      <c r="C1611" s="1083"/>
      <c r="D1611" s="1084"/>
      <c r="E1611" s="1085" t="s">
        <v>711</v>
      </c>
      <c r="F1611" s="1086"/>
      <c r="G1611" s="1086"/>
      <c r="H1611" s="1086"/>
      <c r="I1611" s="1086"/>
      <c r="J1611" s="1087"/>
      <c r="K1611" s="1087"/>
      <c r="L1611" s="1088">
        <v>16258</v>
      </c>
      <c r="M1611" s="1088">
        <v>16258</v>
      </c>
      <c r="N1611" s="1089">
        <v>16179.4</v>
      </c>
      <c r="O1611" s="1090">
        <f>N1611/M1611</f>
        <v>0.99516545700578174</v>
      </c>
      <c r="P1611" s="1091" t="s">
        <v>286</v>
      </c>
      <c r="Q1611" s="1092" t="s">
        <v>286</v>
      </c>
      <c r="R1611" s="1093"/>
    </row>
    <row r="1612" spans="1:18" s="1094" customFormat="1" ht="48" customHeight="1">
      <c r="A1612" s="1081"/>
      <c r="B1612" s="1082"/>
      <c r="C1612" s="1083"/>
      <c r="D1612" s="1084"/>
      <c r="E1612" s="1085" t="s">
        <v>749</v>
      </c>
      <c r="F1612" s="1086"/>
      <c r="G1612" s="1086"/>
      <c r="H1612" s="1086"/>
      <c r="I1612" s="1086"/>
      <c r="J1612" s="1087"/>
      <c r="K1612" s="1087"/>
      <c r="L1612" s="1088">
        <f>18180+270000+1104</f>
        <v>289284</v>
      </c>
      <c r="M1612" s="1088">
        <f>16812+270000+1104</f>
        <v>287916</v>
      </c>
      <c r="N1612" s="1089">
        <f>9694.1+166650.57+412.54</f>
        <v>176757.21000000002</v>
      </c>
      <c r="O1612" s="1090">
        <f>N1612/M1612</f>
        <v>0.61391937231692584</v>
      </c>
      <c r="P1612" s="1091" t="s">
        <v>286</v>
      </c>
      <c r="Q1612" s="1092" t="s">
        <v>286</v>
      </c>
      <c r="R1612" s="1093"/>
    </row>
    <row r="1613" spans="1:18" s="1080" customFormat="1" ht="50.1" customHeight="1">
      <c r="A1613" s="1070"/>
      <c r="B1613" s="1071"/>
      <c r="C1613" s="1072"/>
      <c r="D1613" s="1073" t="s">
        <v>678</v>
      </c>
      <c r="E1613" s="1074" t="s">
        <v>738</v>
      </c>
      <c r="F1613" s="1075">
        <v>4866270</v>
      </c>
      <c r="G1613" s="1075" t="e">
        <f>#REF!</f>
        <v>#REF!</v>
      </c>
      <c r="H1613" s="1075" t="e">
        <f>#REF!</f>
        <v>#REF!</v>
      </c>
      <c r="I1613" s="1075" t="e">
        <f>#REF!</f>
        <v>#REF!</v>
      </c>
      <c r="J1613" s="1075" t="e">
        <f>#REF!</f>
        <v>#REF!</v>
      </c>
      <c r="K1613" s="1075" t="e">
        <f>#REF!</f>
        <v>#REF!</v>
      </c>
      <c r="L1613" s="1075">
        <v>5940388</v>
      </c>
      <c r="M1613" s="1075">
        <v>5940388</v>
      </c>
      <c r="N1613" s="1095">
        <f>SUM(N1615:N1631)</f>
        <v>2984394.3900000006</v>
      </c>
      <c r="O1613" s="1076">
        <f>N1613/M1613</f>
        <v>0.5023904819011823</v>
      </c>
      <c r="P1613" s="1077" t="s">
        <v>286</v>
      </c>
      <c r="Q1613" s="1078" t="s">
        <v>286</v>
      </c>
      <c r="R1613" s="1079"/>
    </row>
    <row r="1614" spans="1:18" s="1153" customFormat="1" ht="31.5" customHeight="1">
      <c r="A1614" s="1070"/>
      <c r="B1614" s="1145"/>
      <c r="C1614" s="1072"/>
      <c r="D1614" s="1073"/>
      <c r="E1614" s="1146" t="s">
        <v>16</v>
      </c>
      <c r="F1614" s="1147"/>
      <c r="G1614" s="1147"/>
      <c r="H1614" s="1147"/>
      <c r="I1614" s="1147"/>
      <c r="J1614" s="1148"/>
      <c r="K1614" s="1148"/>
      <c r="L1614" s="1148"/>
      <c r="M1614" s="1148"/>
      <c r="N1614" s="1148"/>
      <c r="O1614" s="1149"/>
      <c r="P1614" s="1150"/>
      <c r="Q1614" s="1151"/>
      <c r="R1614" s="1152"/>
    </row>
    <row r="1615" spans="1:18" s="1168" customFormat="1" ht="36" customHeight="1">
      <c r="A1615" s="1154"/>
      <c r="B1615" s="1155"/>
      <c r="C1615" s="1156"/>
      <c r="D1615" s="1157" t="s">
        <v>3</v>
      </c>
      <c r="E1615" s="1158" t="s">
        <v>750</v>
      </c>
      <c r="F1615" s="1159"/>
      <c r="G1615" s="1160"/>
      <c r="H1615" s="1159"/>
      <c r="I1615" s="1161">
        <v>620044</v>
      </c>
      <c r="J1615" s="1159"/>
      <c r="K1615" s="1162"/>
      <c r="L1615" s="1182"/>
      <c r="M1615" s="1164"/>
      <c r="N1615" s="1165">
        <v>409527.21</v>
      </c>
      <c r="O1615" s="1183"/>
      <c r="P1615" s="1166" t="s">
        <v>286</v>
      </c>
      <c r="Q1615" s="1092"/>
      <c r="R1615" s="1167"/>
    </row>
    <row r="1616" spans="1:18" s="1168" customFormat="1" ht="36" customHeight="1">
      <c r="A1616" s="1154"/>
      <c r="B1616" s="1155"/>
      <c r="C1616" s="1156"/>
      <c r="D1616" s="1157" t="s">
        <v>3</v>
      </c>
      <c r="E1616" s="1158" t="s">
        <v>751</v>
      </c>
      <c r="F1616" s="1159"/>
      <c r="G1616" s="1160"/>
      <c r="H1616" s="1159"/>
      <c r="I1616" s="1161">
        <v>61000</v>
      </c>
      <c r="J1616" s="1159"/>
      <c r="K1616" s="1162"/>
      <c r="L1616" s="1182"/>
      <c r="M1616" s="1164"/>
      <c r="N1616" s="1165">
        <v>14000</v>
      </c>
      <c r="O1616" s="1183"/>
      <c r="P1616" s="1166" t="s">
        <v>286</v>
      </c>
      <c r="Q1616" s="1092"/>
      <c r="R1616" s="1167"/>
    </row>
    <row r="1617" spans="1:18" s="1168" customFormat="1" ht="36" customHeight="1">
      <c r="A1617" s="1154"/>
      <c r="B1617" s="1155"/>
      <c r="C1617" s="1156"/>
      <c r="D1617" s="1157" t="s">
        <v>3</v>
      </c>
      <c r="E1617" s="1158" t="s">
        <v>752</v>
      </c>
      <c r="F1617" s="1159"/>
      <c r="G1617" s="1160"/>
      <c r="H1617" s="1159"/>
      <c r="I1617" s="1161">
        <v>100000</v>
      </c>
      <c r="J1617" s="1159"/>
      <c r="K1617" s="1162"/>
      <c r="L1617" s="1182"/>
      <c r="M1617" s="1164"/>
      <c r="N1617" s="1165">
        <v>39000</v>
      </c>
      <c r="O1617" s="1183"/>
      <c r="P1617" s="1166" t="s">
        <v>286</v>
      </c>
      <c r="Q1617" s="1092"/>
      <c r="R1617" s="1167"/>
    </row>
    <row r="1618" spans="1:18" s="1168" customFormat="1" ht="54" customHeight="1">
      <c r="A1618" s="1154"/>
      <c r="B1618" s="1155"/>
      <c r="C1618" s="1156"/>
      <c r="D1618" s="1157" t="s">
        <v>3</v>
      </c>
      <c r="E1618" s="1158" t="s">
        <v>753</v>
      </c>
      <c r="F1618" s="1159"/>
      <c r="G1618" s="1160"/>
      <c r="H1618" s="1159"/>
      <c r="I1618" s="1161">
        <v>130022.8</v>
      </c>
      <c r="J1618" s="1159"/>
      <c r="K1618" s="1162"/>
      <c r="L1618" s="1182"/>
      <c r="M1618" s="1164"/>
      <c r="N1618" s="1165">
        <v>29443.38</v>
      </c>
      <c r="O1618" s="1183"/>
      <c r="P1618" s="1166" t="s">
        <v>286</v>
      </c>
      <c r="Q1618" s="1092"/>
      <c r="R1618" s="1167"/>
    </row>
    <row r="1619" spans="1:18" s="1168" customFormat="1" ht="36" customHeight="1">
      <c r="A1619" s="1154"/>
      <c r="B1619" s="1155"/>
      <c r="C1619" s="1156"/>
      <c r="D1619" s="1157" t="s">
        <v>3</v>
      </c>
      <c r="E1619" s="1158" t="s">
        <v>754</v>
      </c>
      <c r="F1619" s="1159"/>
      <c r="G1619" s="1160"/>
      <c r="H1619" s="1159"/>
      <c r="I1619" s="1161">
        <v>118100</v>
      </c>
      <c r="J1619" s="1159"/>
      <c r="K1619" s="1162"/>
      <c r="L1619" s="1182"/>
      <c r="M1619" s="1164"/>
      <c r="N1619" s="1165">
        <v>36179.230000000003</v>
      </c>
      <c r="O1619" s="1183"/>
      <c r="P1619" s="1166" t="s">
        <v>286</v>
      </c>
      <c r="Q1619" s="1092"/>
      <c r="R1619" s="1167"/>
    </row>
    <row r="1620" spans="1:18" s="1168" customFormat="1" ht="36" customHeight="1">
      <c r="A1620" s="1154"/>
      <c r="B1620" s="1155"/>
      <c r="C1620" s="1156"/>
      <c r="D1620" s="1157" t="s">
        <v>3</v>
      </c>
      <c r="E1620" s="1158" t="s">
        <v>755</v>
      </c>
      <c r="F1620" s="1159"/>
      <c r="G1620" s="1160"/>
      <c r="H1620" s="1159"/>
      <c r="I1620" s="1161">
        <v>122600</v>
      </c>
      <c r="J1620" s="1159"/>
      <c r="K1620" s="1162"/>
      <c r="L1620" s="1182"/>
      <c r="M1620" s="1164"/>
      <c r="N1620" s="1165">
        <v>50373.440000000002</v>
      </c>
      <c r="O1620" s="1183"/>
      <c r="P1620" s="1166" t="s">
        <v>286</v>
      </c>
      <c r="Q1620" s="1092"/>
      <c r="R1620" s="1167"/>
    </row>
    <row r="1621" spans="1:18" s="1168" customFormat="1" ht="62.25" customHeight="1">
      <c r="A1621" s="1154"/>
      <c r="B1621" s="1155"/>
      <c r="C1621" s="1156"/>
      <c r="D1621" s="1157" t="s">
        <v>3</v>
      </c>
      <c r="E1621" s="1158" t="s">
        <v>756</v>
      </c>
      <c r="F1621" s="1159"/>
      <c r="G1621" s="1160"/>
      <c r="H1621" s="1159"/>
      <c r="I1621" s="1161">
        <v>34920</v>
      </c>
      <c r="J1621" s="1159"/>
      <c r="K1621" s="1162"/>
      <c r="L1621" s="1182"/>
      <c r="M1621" s="1164"/>
      <c r="N1621" s="1165">
        <v>26489.34</v>
      </c>
      <c r="O1621" s="1183"/>
      <c r="P1621" s="1166" t="s">
        <v>286</v>
      </c>
      <c r="Q1621" s="1092"/>
      <c r="R1621" s="1167"/>
    </row>
    <row r="1622" spans="1:18" s="1168" customFormat="1" ht="36" customHeight="1">
      <c r="A1622" s="1154"/>
      <c r="B1622" s="1155"/>
      <c r="C1622" s="1156"/>
      <c r="D1622" s="1157" t="s">
        <v>3</v>
      </c>
      <c r="E1622" s="1158" t="s">
        <v>757</v>
      </c>
      <c r="F1622" s="1159"/>
      <c r="G1622" s="1160"/>
      <c r="H1622" s="1159"/>
      <c r="I1622" s="1161">
        <v>270</v>
      </c>
      <c r="J1622" s="1159"/>
      <c r="K1622" s="1162"/>
      <c r="L1622" s="1182"/>
      <c r="M1622" s="1164"/>
      <c r="N1622" s="1165">
        <v>1170.4100000000001</v>
      </c>
      <c r="O1622" s="1183"/>
      <c r="P1622" s="1166" t="s">
        <v>286</v>
      </c>
      <c r="Q1622" s="1092"/>
      <c r="R1622" s="1167"/>
    </row>
    <row r="1623" spans="1:18" s="1168" customFormat="1" ht="62.25" customHeight="1">
      <c r="A1623" s="1154"/>
      <c r="B1623" s="1155"/>
      <c r="C1623" s="1156"/>
      <c r="D1623" s="1157" t="s">
        <v>3</v>
      </c>
      <c r="E1623" s="1158" t="s">
        <v>758</v>
      </c>
      <c r="F1623" s="1159"/>
      <c r="G1623" s="1160"/>
      <c r="H1623" s="1159"/>
      <c r="I1623" s="1161">
        <v>11680</v>
      </c>
      <c r="J1623" s="1159"/>
      <c r="K1623" s="1162"/>
      <c r="L1623" s="1182"/>
      <c r="M1623" s="1164"/>
      <c r="N1623" s="1165">
        <v>3390</v>
      </c>
      <c r="O1623" s="1183"/>
      <c r="P1623" s="1166" t="s">
        <v>286</v>
      </c>
      <c r="Q1623" s="1092"/>
      <c r="R1623" s="1167"/>
    </row>
    <row r="1624" spans="1:18" s="1168" customFormat="1" ht="72" customHeight="1">
      <c r="A1624" s="1154"/>
      <c r="B1624" s="1155"/>
      <c r="C1624" s="1156"/>
      <c r="D1624" s="1157" t="s">
        <v>3</v>
      </c>
      <c r="E1624" s="1158" t="s">
        <v>759</v>
      </c>
      <c r="F1624" s="1159"/>
      <c r="G1624" s="1160"/>
      <c r="H1624" s="1159"/>
      <c r="I1624" s="1161">
        <v>11680</v>
      </c>
      <c r="J1624" s="1159"/>
      <c r="K1624" s="1162"/>
      <c r="L1624" s="1182"/>
      <c r="M1624" s="1164"/>
      <c r="N1624" s="1165">
        <v>28536.57</v>
      </c>
      <c r="O1624" s="1183"/>
      <c r="P1624" s="1166" t="s">
        <v>286</v>
      </c>
      <c r="Q1624" s="1092"/>
      <c r="R1624" s="1167"/>
    </row>
    <row r="1625" spans="1:18" s="1168" customFormat="1" ht="36" customHeight="1">
      <c r="A1625" s="1154"/>
      <c r="B1625" s="1155"/>
      <c r="C1625" s="1156"/>
      <c r="D1625" s="1157" t="s">
        <v>3</v>
      </c>
      <c r="E1625" s="1158" t="s">
        <v>760</v>
      </c>
      <c r="F1625" s="1159"/>
      <c r="G1625" s="1160"/>
      <c r="H1625" s="1159"/>
      <c r="I1625" s="1161"/>
      <c r="J1625" s="1159"/>
      <c r="K1625" s="1162"/>
      <c r="L1625" s="1182"/>
      <c r="M1625" s="1164"/>
      <c r="N1625" s="1165">
        <v>339820</v>
      </c>
      <c r="O1625" s="1183"/>
      <c r="P1625" s="1166" t="s">
        <v>286</v>
      </c>
      <c r="Q1625" s="1092"/>
      <c r="R1625" s="1167"/>
    </row>
    <row r="1626" spans="1:18" s="1168" customFormat="1" ht="36" customHeight="1">
      <c r="A1626" s="1154"/>
      <c r="B1626" s="1155"/>
      <c r="C1626" s="1156"/>
      <c r="D1626" s="1157" t="s">
        <v>3</v>
      </c>
      <c r="E1626" s="1158" t="s">
        <v>761</v>
      </c>
      <c r="F1626" s="1159"/>
      <c r="G1626" s="1160"/>
      <c r="H1626" s="1159"/>
      <c r="I1626" s="1161"/>
      <c r="J1626" s="1159"/>
      <c r="K1626" s="1162"/>
      <c r="L1626" s="1182"/>
      <c r="M1626" s="1164"/>
      <c r="N1626" s="1165">
        <v>390732.62</v>
      </c>
      <c r="O1626" s="1183"/>
      <c r="P1626" s="1166"/>
      <c r="Q1626" s="1092"/>
      <c r="R1626" s="1167"/>
    </row>
    <row r="1627" spans="1:18" s="1168" customFormat="1" ht="36" customHeight="1">
      <c r="A1627" s="1154"/>
      <c r="B1627" s="1155"/>
      <c r="C1627" s="1156"/>
      <c r="D1627" s="1157" t="s">
        <v>3</v>
      </c>
      <c r="E1627" s="1158" t="s">
        <v>762</v>
      </c>
      <c r="F1627" s="1159"/>
      <c r="G1627" s="1160"/>
      <c r="H1627" s="1159"/>
      <c r="I1627" s="1161">
        <v>231696</v>
      </c>
      <c r="J1627" s="1159"/>
      <c r="K1627" s="1162"/>
      <c r="L1627" s="1182"/>
      <c r="M1627" s="1164"/>
      <c r="N1627" s="1165">
        <v>739874.21</v>
      </c>
      <c r="O1627" s="1183"/>
      <c r="P1627" s="1166" t="s">
        <v>286</v>
      </c>
      <c r="Q1627" s="1092"/>
      <c r="R1627" s="1167"/>
    </row>
    <row r="1628" spans="1:18" s="1168" customFormat="1" ht="36" customHeight="1">
      <c r="A1628" s="1154"/>
      <c r="B1628" s="1155"/>
      <c r="C1628" s="1156"/>
      <c r="D1628" s="1157" t="s">
        <v>3</v>
      </c>
      <c r="E1628" s="1158" t="s">
        <v>763</v>
      </c>
      <c r="F1628" s="1159"/>
      <c r="G1628" s="1160"/>
      <c r="H1628" s="1159"/>
      <c r="I1628" s="1161">
        <v>55720</v>
      </c>
      <c r="J1628" s="1159"/>
      <c r="K1628" s="1162"/>
      <c r="L1628" s="1182"/>
      <c r="M1628" s="1164"/>
      <c r="N1628" s="1165">
        <v>19171.68</v>
      </c>
      <c r="O1628" s="1183"/>
      <c r="P1628" s="1166" t="s">
        <v>286</v>
      </c>
      <c r="Q1628" s="1092"/>
      <c r="R1628" s="1167"/>
    </row>
    <row r="1629" spans="1:18" s="1168" customFormat="1" ht="36" customHeight="1">
      <c r="A1629" s="1154"/>
      <c r="B1629" s="1155"/>
      <c r="C1629" s="1156"/>
      <c r="D1629" s="1157" t="s">
        <v>3</v>
      </c>
      <c r="E1629" s="1158" t="s">
        <v>764</v>
      </c>
      <c r="F1629" s="1159"/>
      <c r="G1629" s="1160"/>
      <c r="H1629" s="1159"/>
      <c r="I1629" s="1161">
        <v>55720</v>
      </c>
      <c r="J1629" s="1159"/>
      <c r="K1629" s="1162"/>
      <c r="L1629" s="1182"/>
      <c r="M1629" s="1164"/>
      <c r="N1629" s="1165">
        <v>29706.7</v>
      </c>
      <c r="O1629" s="1183"/>
      <c r="P1629" s="1166" t="s">
        <v>286</v>
      </c>
      <c r="Q1629" s="1092"/>
      <c r="R1629" s="1167"/>
    </row>
    <row r="1630" spans="1:18" s="1168" customFormat="1" ht="36" customHeight="1">
      <c r="A1630" s="1154"/>
      <c r="B1630" s="1155"/>
      <c r="C1630" s="1156"/>
      <c r="D1630" s="1157" t="s">
        <v>3</v>
      </c>
      <c r="E1630" s="1158" t="s">
        <v>765</v>
      </c>
      <c r="F1630" s="1159"/>
      <c r="G1630" s="1160"/>
      <c r="H1630" s="1159"/>
      <c r="I1630" s="1161">
        <v>55720</v>
      </c>
      <c r="J1630" s="1159"/>
      <c r="K1630" s="1162"/>
      <c r="L1630" s="1182"/>
      <c r="M1630" s="1164"/>
      <c r="N1630" s="1165">
        <v>826979.6</v>
      </c>
      <c r="O1630" s="1183"/>
      <c r="P1630" s="1166" t="s">
        <v>286</v>
      </c>
      <c r="Q1630" s="1092"/>
      <c r="R1630" s="1167"/>
    </row>
    <row r="1631" spans="1:18" s="1168" customFormat="1" ht="36" customHeight="1">
      <c r="A1631" s="1154"/>
      <c r="B1631" s="1155"/>
      <c r="C1631" s="1156"/>
      <c r="D1631" s="1157" t="s">
        <v>3</v>
      </c>
      <c r="E1631" s="1158" t="s">
        <v>766</v>
      </c>
      <c r="F1631" s="1159"/>
      <c r="G1631" s="1160"/>
      <c r="H1631" s="1159"/>
      <c r="I1631" s="1161">
        <v>55720</v>
      </c>
      <c r="J1631" s="1159"/>
      <c r="K1631" s="1162"/>
      <c r="L1631" s="1182"/>
      <c r="M1631" s="1164"/>
      <c r="N1631" s="1165">
        <v>0</v>
      </c>
      <c r="O1631" s="1183"/>
      <c r="P1631" s="1166" t="s">
        <v>286</v>
      </c>
      <c r="Q1631" s="1092"/>
      <c r="R1631" s="1167"/>
    </row>
    <row r="1632" spans="1:18" s="1123" customFormat="1" ht="50.1" customHeight="1">
      <c r="A1632" s="1112"/>
      <c r="B1632" s="1113"/>
      <c r="C1632" s="1114"/>
      <c r="D1632" s="1115" t="s">
        <v>740</v>
      </c>
      <c r="E1632" s="1116" t="s">
        <v>446</v>
      </c>
      <c r="F1632" s="1117">
        <f>7550+500+500+5500+6300</f>
        <v>20350</v>
      </c>
      <c r="G1632" s="1117"/>
      <c r="H1632" s="1117"/>
      <c r="I1632" s="1117"/>
      <c r="J1632" s="1118"/>
      <c r="K1632" s="1169"/>
      <c r="L1632" s="1170">
        <f>L1634+L1635+L1636+L1637+L1638+L1639+L1640</f>
        <v>6929</v>
      </c>
      <c r="M1632" s="1170">
        <f t="shared" ref="M1632:N1632" si="226">M1634+M1635+M1636+M1637+M1638+M1639+M1640</f>
        <v>8697</v>
      </c>
      <c r="N1632" s="1170">
        <f t="shared" si="226"/>
        <v>6096.47</v>
      </c>
      <c r="O1632" s="1119">
        <f>N1632/M1632</f>
        <v>0.70098539726342424</v>
      </c>
      <c r="P1632" s="1120" t="s">
        <v>286</v>
      </c>
      <c r="Q1632" s="1121" t="s">
        <v>286</v>
      </c>
      <c r="R1632" s="1122"/>
    </row>
    <row r="1633" spans="1:18" s="1181" customFormat="1" ht="30" customHeight="1">
      <c r="A1633" s="1112"/>
      <c r="B1633" s="1171"/>
      <c r="C1633" s="1114"/>
      <c r="D1633" s="1115"/>
      <c r="E1633" s="1172" t="s">
        <v>16</v>
      </c>
      <c r="F1633" s="1173"/>
      <c r="G1633" s="1173"/>
      <c r="H1633" s="1173"/>
      <c r="I1633" s="1173"/>
      <c r="J1633" s="1174"/>
      <c r="K1633" s="1175"/>
      <c r="L1633" s="1176"/>
      <c r="M1633" s="1174"/>
      <c r="N1633" s="1174"/>
      <c r="O1633" s="1177"/>
      <c r="P1633" s="1178"/>
      <c r="Q1633" s="1179"/>
      <c r="R1633" s="1180"/>
    </row>
    <row r="1634" spans="1:18" s="1181" customFormat="1" ht="60.75" customHeight="1">
      <c r="A1634" s="1112"/>
      <c r="B1634" s="1171"/>
      <c r="C1634" s="1114"/>
      <c r="D1634" s="1115"/>
      <c r="E1634" s="1172" t="s">
        <v>741</v>
      </c>
      <c r="F1634" s="1173"/>
      <c r="G1634" s="1173"/>
      <c r="H1634" s="1173"/>
      <c r="I1634" s="1173"/>
      <c r="J1634" s="1174"/>
      <c r="K1634" s="1174"/>
      <c r="L1634" s="1127">
        <v>300</v>
      </c>
      <c r="M1634" s="1127">
        <v>300</v>
      </c>
      <c r="N1634" s="1127">
        <v>300</v>
      </c>
      <c r="O1634" s="1128">
        <f>N1634/M1634</f>
        <v>1</v>
      </c>
      <c r="P1634" s="1178" t="s">
        <v>286</v>
      </c>
      <c r="Q1634" s="1179" t="s">
        <v>286</v>
      </c>
      <c r="R1634" s="1180"/>
    </row>
    <row r="1635" spans="1:18" s="1140" customFormat="1" ht="52.5" customHeight="1">
      <c r="A1635" s="1129"/>
      <c r="B1635" s="1130"/>
      <c r="C1635" s="1131"/>
      <c r="D1635" s="1132"/>
      <c r="E1635" s="1124" t="s">
        <v>767</v>
      </c>
      <c r="F1635" s="1133"/>
      <c r="G1635" s="1133"/>
      <c r="H1635" s="1133"/>
      <c r="I1635" s="1133"/>
      <c r="J1635" s="1134"/>
      <c r="K1635" s="1134"/>
      <c r="L1635" s="1135">
        <v>0</v>
      </c>
      <c r="M1635" s="1135">
        <v>0</v>
      </c>
      <c r="N1635" s="1127">
        <v>0</v>
      </c>
      <c r="O1635" s="1128">
        <v>0</v>
      </c>
      <c r="P1635" s="1137" t="s">
        <v>286</v>
      </c>
      <c r="Q1635" s="1138" t="s">
        <v>286</v>
      </c>
      <c r="R1635" s="1139"/>
    </row>
    <row r="1636" spans="1:18" s="1140" customFormat="1" ht="52.5" customHeight="1">
      <c r="A1636" s="1129"/>
      <c r="B1636" s="1130"/>
      <c r="C1636" s="1131"/>
      <c r="D1636" s="1132"/>
      <c r="E1636" s="1124" t="s">
        <v>743</v>
      </c>
      <c r="F1636" s="1133"/>
      <c r="G1636" s="1133"/>
      <c r="H1636" s="1133"/>
      <c r="I1636" s="1133"/>
      <c r="J1636" s="1134"/>
      <c r="K1636" s="1134"/>
      <c r="L1636" s="1135">
        <v>0</v>
      </c>
      <c r="M1636" s="1135">
        <v>0</v>
      </c>
      <c r="N1636" s="1127">
        <v>0</v>
      </c>
      <c r="O1636" s="1128">
        <v>0</v>
      </c>
      <c r="P1636" s="1137" t="s">
        <v>286</v>
      </c>
      <c r="Q1636" s="1138" t="s">
        <v>286</v>
      </c>
      <c r="R1636" s="1139"/>
    </row>
    <row r="1637" spans="1:18" s="1140" customFormat="1" ht="52.5" customHeight="1">
      <c r="A1637" s="1129"/>
      <c r="B1637" s="1130"/>
      <c r="C1637" s="1131"/>
      <c r="D1637" s="1132"/>
      <c r="E1637" s="1124" t="s">
        <v>768</v>
      </c>
      <c r="F1637" s="1133"/>
      <c r="G1637" s="1133"/>
      <c r="H1637" s="1133"/>
      <c r="I1637" s="1133"/>
      <c r="J1637" s="1134"/>
      <c r="K1637" s="1134"/>
      <c r="L1637" s="1135">
        <v>0</v>
      </c>
      <c r="M1637" s="1135">
        <v>0</v>
      </c>
      <c r="N1637" s="1127">
        <v>0</v>
      </c>
      <c r="O1637" s="1128">
        <v>0</v>
      </c>
      <c r="P1637" s="1137" t="s">
        <v>286</v>
      </c>
      <c r="Q1637" s="1138"/>
      <c r="R1637" s="1139"/>
    </row>
    <row r="1638" spans="1:18" s="1140" customFormat="1" ht="52.5" customHeight="1">
      <c r="A1638" s="1129"/>
      <c r="B1638" s="1130"/>
      <c r="C1638" s="1131"/>
      <c r="D1638" s="1132"/>
      <c r="E1638" s="1124" t="s">
        <v>769</v>
      </c>
      <c r="F1638" s="1133"/>
      <c r="G1638" s="1133"/>
      <c r="H1638" s="1133"/>
      <c r="I1638" s="1133"/>
      <c r="J1638" s="1134"/>
      <c r="K1638" s="1134"/>
      <c r="L1638" s="1135">
        <v>6229</v>
      </c>
      <c r="M1638" s="1135">
        <v>7597</v>
      </c>
      <c r="N1638" s="1127">
        <v>5698</v>
      </c>
      <c r="O1638" s="1128">
        <f t="shared" ref="O1638:O1640" si="227">N1638/M1638</f>
        <v>0.75003290772673425</v>
      </c>
      <c r="P1638" s="1137" t="s">
        <v>286</v>
      </c>
      <c r="Q1638" s="1138" t="s">
        <v>286</v>
      </c>
      <c r="R1638" s="1139"/>
    </row>
    <row r="1639" spans="1:18" s="1140" customFormat="1" ht="62.25" customHeight="1">
      <c r="A1639" s="1129"/>
      <c r="B1639" s="1130"/>
      <c r="C1639" s="1131"/>
      <c r="D1639" s="1132"/>
      <c r="E1639" s="1124" t="s">
        <v>770</v>
      </c>
      <c r="F1639" s="1133"/>
      <c r="G1639" s="1133"/>
      <c r="H1639" s="1133"/>
      <c r="I1639" s="1133"/>
      <c r="J1639" s="1134"/>
      <c r="K1639" s="1134"/>
      <c r="L1639" s="1135">
        <v>200</v>
      </c>
      <c r="M1639" s="1135">
        <v>200</v>
      </c>
      <c r="N1639" s="1127">
        <v>98.47</v>
      </c>
      <c r="O1639" s="1128">
        <f t="shared" si="227"/>
        <v>0.49235000000000001</v>
      </c>
      <c r="P1639" s="1137" t="s">
        <v>286</v>
      </c>
      <c r="Q1639" s="1138" t="s">
        <v>286</v>
      </c>
      <c r="R1639" s="1139"/>
    </row>
    <row r="1640" spans="1:18" s="1140" customFormat="1" ht="52.5" customHeight="1">
      <c r="A1640" s="1129"/>
      <c r="B1640" s="1130"/>
      <c r="C1640" s="1131"/>
      <c r="D1640" s="1132"/>
      <c r="E1640" s="1124" t="s">
        <v>747</v>
      </c>
      <c r="F1640" s="1133"/>
      <c r="G1640" s="1133"/>
      <c r="H1640" s="1133"/>
      <c r="I1640" s="1133"/>
      <c r="J1640" s="1134"/>
      <c r="K1640" s="1134"/>
      <c r="L1640" s="1135">
        <v>200</v>
      </c>
      <c r="M1640" s="1135">
        <v>600</v>
      </c>
      <c r="N1640" s="1127">
        <v>0</v>
      </c>
      <c r="O1640" s="1128">
        <f t="shared" si="227"/>
        <v>0</v>
      </c>
      <c r="P1640" s="1137" t="s">
        <v>286</v>
      </c>
      <c r="Q1640" s="1138" t="s">
        <v>286</v>
      </c>
      <c r="R1640" s="1139"/>
    </row>
    <row r="1641" spans="1:18" s="435" customFormat="1" ht="70.2" customHeight="1">
      <c r="A1641" s="433"/>
      <c r="B1641" s="218"/>
      <c r="C1641" s="203">
        <v>2</v>
      </c>
      <c r="D1641" s="468"/>
      <c r="E1641" s="469" t="s">
        <v>222</v>
      </c>
      <c r="F1641" s="209"/>
      <c r="G1641" s="456"/>
      <c r="H1641" s="456"/>
      <c r="I1641" s="456"/>
      <c r="J1641" s="456"/>
      <c r="K1641" s="456">
        <v>147824</v>
      </c>
      <c r="L1641" s="456">
        <f>L1642</f>
        <v>147824</v>
      </c>
      <c r="M1641" s="456">
        <f t="shared" ref="M1641:N1641" si="228">M1642</f>
        <v>147824</v>
      </c>
      <c r="N1641" s="456">
        <f t="shared" si="228"/>
        <v>72508.78</v>
      </c>
      <c r="O1641" s="871">
        <f>N1641/M1641</f>
        <v>0.49050749539993505</v>
      </c>
      <c r="P1641" s="776" t="s">
        <v>286</v>
      </c>
      <c r="Q1641" s="435" t="s">
        <v>286</v>
      </c>
    </row>
    <row r="1642" spans="1:18" s="1080" customFormat="1" ht="50.1" customHeight="1">
      <c r="A1642" s="1070"/>
      <c r="B1642" s="1071"/>
      <c r="C1642" s="1072"/>
      <c r="D1642" s="1073" t="s">
        <v>674</v>
      </c>
      <c r="E1642" s="1074" t="s">
        <v>435</v>
      </c>
      <c r="F1642" s="1075">
        <f>100045+11595+59000+2740</f>
        <v>173380</v>
      </c>
      <c r="G1642" s="1075">
        <f>G1643</f>
        <v>0</v>
      </c>
      <c r="H1642" s="1075">
        <f>H1643</f>
        <v>0</v>
      </c>
      <c r="I1642" s="1075">
        <f>I1643</f>
        <v>0</v>
      </c>
      <c r="J1642" s="1075">
        <f>J1643</f>
        <v>0</v>
      </c>
      <c r="K1642" s="1075">
        <f>K1643</f>
        <v>0</v>
      </c>
      <c r="L1642" s="1184">
        <f>SUM(L1644:L1645)</f>
        <v>147824</v>
      </c>
      <c r="M1642" s="1184">
        <f>SUM(M1644:M1645)</f>
        <v>147824</v>
      </c>
      <c r="N1642" s="1184">
        <f>SUM(N1644:N1645)</f>
        <v>72508.78</v>
      </c>
      <c r="O1642" s="1185">
        <f>N1642/M1642</f>
        <v>0.49050749539993505</v>
      </c>
      <c r="P1642" s="1077" t="s">
        <v>286</v>
      </c>
      <c r="Q1642" s="1078" t="s">
        <v>286</v>
      </c>
      <c r="R1642" s="1079"/>
    </row>
    <row r="1643" spans="1:18" s="1153" customFormat="1" ht="32.25" customHeight="1">
      <c r="A1643" s="1070"/>
      <c r="B1643" s="1145"/>
      <c r="C1643" s="1072"/>
      <c r="D1643" s="1073"/>
      <c r="E1643" s="1146" t="s">
        <v>16</v>
      </c>
      <c r="F1643" s="1147"/>
      <c r="G1643" s="1147"/>
      <c r="H1643" s="1147"/>
      <c r="I1643" s="1147"/>
      <c r="J1643" s="1148"/>
      <c r="K1643" s="1148"/>
      <c r="L1643" s="1186"/>
      <c r="M1643" s="1186"/>
      <c r="N1643" s="1186"/>
      <c r="O1643" s="1185"/>
      <c r="P1643" s="1150"/>
      <c r="Q1643" s="1151"/>
      <c r="R1643" s="1152"/>
    </row>
    <row r="1644" spans="1:18" s="1094" customFormat="1" ht="45.75" customHeight="1">
      <c r="A1644" s="1081"/>
      <c r="B1644" s="1082"/>
      <c r="C1644" s="1083"/>
      <c r="D1644" s="1084"/>
      <c r="E1644" s="1085" t="s">
        <v>772</v>
      </c>
      <c r="F1644" s="1086"/>
      <c r="G1644" s="1086"/>
      <c r="H1644" s="1086"/>
      <c r="I1644" s="1086"/>
      <c r="J1644" s="1087"/>
      <c r="K1644" s="1087"/>
      <c r="L1644" s="1088">
        <v>121587</v>
      </c>
      <c r="M1644" s="1088">
        <v>121587</v>
      </c>
      <c r="N1644" s="1089">
        <v>61700.160000000003</v>
      </c>
      <c r="O1644" s="1090">
        <f t="shared" ref="O1644:O1645" si="229">N1644/M1644</f>
        <v>0.50745688272594935</v>
      </c>
      <c r="P1644" s="1091" t="s">
        <v>286</v>
      </c>
      <c r="Q1644" s="1092" t="s">
        <v>286</v>
      </c>
      <c r="R1644" s="1093"/>
    </row>
    <row r="1645" spans="1:18" s="1094" customFormat="1" ht="45.75" customHeight="1">
      <c r="A1645" s="1081"/>
      <c r="B1645" s="1082"/>
      <c r="C1645" s="1083"/>
      <c r="D1645" s="1084"/>
      <c r="E1645" s="1085" t="s">
        <v>773</v>
      </c>
      <c r="F1645" s="1086"/>
      <c r="G1645" s="1086"/>
      <c r="H1645" s="1086"/>
      <c r="I1645" s="1086"/>
      <c r="J1645" s="1087"/>
      <c r="K1645" s="1087"/>
      <c r="L1645" s="1088">
        <v>26237</v>
      </c>
      <c r="M1645" s="1088">
        <v>26237</v>
      </c>
      <c r="N1645" s="1089">
        <v>10808.62</v>
      </c>
      <c r="O1645" s="1090">
        <f t="shared" si="229"/>
        <v>0.41196097114761598</v>
      </c>
      <c r="P1645" s="1091" t="s">
        <v>286</v>
      </c>
      <c r="Q1645" s="1092" t="s">
        <v>286</v>
      </c>
      <c r="R1645" s="1093"/>
    </row>
    <row r="1646" spans="1:18" s="435" customFormat="1" ht="72" customHeight="1">
      <c r="A1646" s="433"/>
      <c r="B1646" s="218"/>
      <c r="C1646" s="571">
        <v>3</v>
      </c>
      <c r="D1646" s="572"/>
      <c r="E1646" s="805" t="s">
        <v>335</v>
      </c>
      <c r="F1646" s="564"/>
      <c r="G1646" s="563"/>
      <c r="H1646" s="563"/>
      <c r="I1646" s="563"/>
      <c r="J1646" s="563"/>
      <c r="K1646" s="563">
        <f>1000+400+15000</f>
        <v>16400</v>
      </c>
      <c r="L1646" s="563">
        <f t="shared" ref="L1646" si="230">SUM(F1646:K1646)</f>
        <v>16400</v>
      </c>
      <c r="M1646" s="563">
        <f>61400+2000</f>
        <v>63400</v>
      </c>
      <c r="N1646" s="563">
        <f>27017.7+837.16</f>
        <v>27854.86</v>
      </c>
      <c r="O1646" s="872">
        <f>N1646/M1646</f>
        <v>0.43935110410094635</v>
      </c>
      <c r="P1646" s="776" t="s">
        <v>286</v>
      </c>
      <c r="Q1646" s="435" t="s">
        <v>286</v>
      </c>
    </row>
    <row r="1647" spans="1:18" s="232" customFormat="1" ht="59.25" customHeight="1">
      <c r="A1647" s="705"/>
      <c r="B1647" s="78">
        <v>85503</v>
      </c>
      <c r="C1647" s="77"/>
      <c r="D1647" s="181"/>
      <c r="E1647" s="391" t="s">
        <v>774</v>
      </c>
      <c r="F1647" s="414">
        <f t="shared" ref="F1647:K1647" si="231">F1648</f>
        <v>0</v>
      </c>
      <c r="G1647" s="414">
        <f t="shared" si="231"/>
        <v>0</v>
      </c>
      <c r="H1647" s="414">
        <f t="shared" si="231"/>
        <v>0</v>
      </c>
      <c r="I1647" s="414">
        <f t="shared" si="231"/>
        <v>0</v>
      </c>
      <c r="J1647" s="414">
        <f t="shared" si="231"/>
        <v>0</v>
      </c>
      <c r="K1647" s="414">
        <f t="shared" si="231"/>
        <v>200000</v>
      </c>
      <c r="L1647" s="95">
        <f>L1648</f>
        <v>0</v>
      </c>
      <c r="M1647" s="95">
        <f>M1648</f>
        <v>470</v>
      </c>
      <c r="N1647" s="95">
        <f>N1648</f>
        <v>225.13</v>
      </c>
      <c r="O1647" s="868">
        <f>N1647/M1647</f>
        <v>0.47899999999999998</v>
      </c>
      <c r="P1647" s="1187" t="s">
        <v>286</v>
      </c>
      <c r="Q1647" s="785" t="s">
        <v>286</v>
      </c>
    </row>
    <row r="1648" spans="1:18" s="570" customFormat="1" ht="94.2" customHeight="1">
      <c r="A1648" s="705"/>
      <c r="B1648" s="470"/>
      <c r="C1648" s="453">
        <v>1</v>
      </c>
      <c r="D1648" s="449"/>
      <c r="E1648" s="450" t="s">
        <v>775</v>
      </c>
      <c r="F1648" s="451"/>
      <c r="G1648" s="423"/>
      <c r="H1648" s="423"/>
      <c r="I1648" s="423"/>
      <c r="J1648" s="423"/>
      <c r="K1648" s="423">
        <v>200000</v>
      </c>
      <c r="L1648" s="423">
        <v>0</v>
      </c>
      <c r="M1648" s="423">
        <v>470</v>
      </c>
      <c r="N1648" s="423">
        <v>225.13</v>
      </c>
      <c r="O1648" s="883">
        <f>N1648/M1648</f>
        <v>0.47899999999999998</v>
      </c>
      <c r="P1648" s="1188" t="s">
        <v>286</v>
      </c>
      <c r="Q1648" s="777" t="s">
        <v>286</v>
      </c>
    </row>
    <row r="1649" spans="1:18" s="232" customFormat="1" ht="59.25" customHeight="1">
      <c r="A1649" s="433"/>
      <c r="B1649" s="78">
        <v>85504</v>
      </c>
      <c r="C1649" s="77"/>
      <c r="D1649" s="181"/>
      <c r="E1649" s="391" t="s">
        <v>141</v>
      </c>
      <c r="F1649" s="414">
        <f t="shared" ref="F1649:K1649" si="232">F1650</f>
        <v>0</v>
      </c>
      <c r="G1649" s="414">
        <f t="shared" si="232"/>
        <v>0</v>
      </c>
      <c r="H1649" s="414">
        <f t="shared" si="232"/>
        <v>0</v>
      </c>
      <c r="I1649" s="414">
        <f t="shared" si="232"/>
        <v>0</v>
      </c>
      <c r="J1649" s="414">
        <f t="shared" si="232"/>
        <v>0</v>
      </c>
      <c r="K1649" s="414">
        <f t="shared" si="232"/>
        <v>267000</v>
      </c>
      <c r="L1649" s="95">
        <f>L1650+L1657</f>
        <v>267000</v>
      </c>
      <c r="M1649" s="95">
        <f t="shared" ref="M1649:N1649" si="233">M1650+M1657</f>
        <v>810090</v>
      </c>
      <c r="N1649" s="95">
        <f t="shared" si="233"/>
        <v>115723.37999999999</v>
      </c>
      <c r="O1649" s="868">
        <f>N1649/M1649</f>
        <v>0.14285249787060697</v>
      </c>
      <c r="P1649" s="785" t="s">
        <v>286</v>
      </c>
      <c r="Q1649" s="232" t="s">
        <v>286</v>
      </c>
    </row>
    <row r="1650" spans="1:18" s="570" customFormat="1" ht="99" customHeight="1">
      <c r="A1650" s="433"/>
      <c r="B1650" s="470"/>
      <c r="C1650" s="453">
        <v>1</v>
      </c>
      <c r="D1650" s="449"/>
      <c r="E1650" s="569" t="s">
        <v>221</v>
      </c>
      <c r="F1650" s="451"/>
      <c r="G1650" s="423"/>
      <c r="H1650" s="423"/>
      <c r="I1650" s="423"/>
      <c r="J1650" s="423"/>
      <c r="K1650" s="423">
        <v>267000</v>
      </c>
      <c r="L1650" s="423">
        <f>SUM(L1651:L1656)</f>
        <v>267000</v>
      </c>
      <c r="M1650" s="423">
        <f t="shared" ref="M1650:N1650" si="234">SUM(M1651:M1656)</f>
        <v>267000</v>
      </c>
      <c r="N1650" s="423">
        <f t="shared" si="234"/>
        <v>112605.29999999999</v>
      </c>
      <c r="O1650" s="883">
        <f>N1650/M1650</f>
        <v>0.42174269662921343</v>
      </c>
      <c r="P1650" s="777" t="s">
        <v>286</v>
      </c>
      <c r="Q1650" s="570" t="s">
        <v>286</v>
      </c>
    </row>
    <row r="1651" spans="1:18" s="1181" customFormat="1" ht="85.2" customHeight="1">
      <c r="A1651" s="1112"/>
      <c r="B1651" s="1171"/>
      <c r="C1651" s="1114"/>
      <c r="D1651" s="1115"/>
      <c r="E1651" s="1172" t="s">
        <v>780</v>
      </c>
      <c r="F1651" s="1173"/>
      <c r="G1651" s="1173"/>
      <c r="H1651" s="1173"/>
      <c r="I1651" s="1173"/>
      <c r="J1651" s="1174"/>
      <c r="K1651" s="1174"/>
      <c r="L1651" s="1127">
        <v>170000</v>
      </c>
      <c r="M1651" s="1127">
        <v>170000</v>
      </c>
      <c r="N1651" s="1127">
        <v>64884.88</v>
      </c>
      <c r="O1651" s="1128">
        <f t="shared" ref="O1651:O1653" si="235">N1651/M1651</f>
        <v>0.38167576470588233</v>
      </c>
      <c r="P1651" s="1178" t="s">
        <v>286</v>
      </c>
      <c r="Q1651" s="1179" t="s">
        <v>286</v>
      </c>
      <c r="R1651" s="1180"/>
    </row>
    <row r="1652" spans="1:18" s="1140" customFormat="1" ht="36" customHeight="1">
      <c r="A1652" s="1129"/>
      <c r="B1652" s="1130"/>
      <c r="C1652" s="1131"/>
      <c r="D1652" s="1132"/>
      <c r="E1652" s="1124" t="s">
        <v>776</v>
      </c>
      <c r="F1652" s="1133"/>
      <c r="G1652" s="1133"/>
      <c r="H1652" s="1133"/>
      <c r="I1652" s="1133"/>
      <c r="J1652" s="1134"/>
      <c r="K1652" s="1134"/>
      <c r="L1652" s="1135">
        <v>90429</v>
      </c>
      <c r="M1652" s="1135">
        <v>89871</v>
      </c>
      <c r="N1652" s="1127">
        <v>43106.02</v>
      </c>
      <c r="O1652" s="1128">
        <f t="shared" si="235"/>
        <v>0.47964326645970334</v>
      </c>
      <c r="P1652" s="1137" t="s">
        <v>286</v>
      </c>
      <c r="Q1652" s="1138" t="s">
        <v>286</v>
      </c>
      <c r="R1652" s="1139"/>
    </row>
    <row r="1653" spans="1:18" s="1140" customFormat="1" ht="60.75" customHeight="1">
      <c r="A1653" s="1129"/>
      <c r="B1653" s="1130"/>
      <c r="C1653" s="1131"/>
      <c r="D1653" s="1132"/>
      <c r="E1653" s="1172" t="s">
        <v>777</v>
      </c>
      <c r="F1653" s="1133"/>
      <c r="G1653" s="1133"/>
      <c r="H1653" s="1133"/>
      <c r="I1653" s="1133"/>
      <c r="J1653" s="1134"/>
      <c r="K1653" s="1134"/>
      <c r="L1653" s="1135">
        <v>1000</v>
      </c>
      <c r="M1653" s="1135">
        <v>1000</v>
      </c>
      <c r="N1653" s="1127">
        <v>620.84</v>
      </c>
      <c r="O1653" s="1128">
        <f t="shared" si="235"/>
        <v>0.62084000000000006</v>
      </c>
      <c r="P1653" s="1137" t="s">
        <v>286</v>
      </c>
      <c r="Q1653" s="1138" t="s">
        <v>286</v>
      </c>
      <c r="R1653" s="1139"/>
    </row>
    <row r="1654" spans="1:18" s="1140" customFormat="1" ht="36" customHeight="1">
      <c r="A1654" s="1129"/>
      <c r="B1654" s="1130"/>
      <c r="C1654" s="1131"/>
      <c r="D1654" s="1132"/>
      <c r="E1654" s="1124" t="s">
        <v>778</v>
      </c>
      <c r="F1654" s="1133"/>
      <c r="G1654" s="1133"/>
      <c r="H1654" s="1133"/>
      <c r="I1654" s="1133"/>
      <c r="J1654" s="1134"/>
      <c r="K1654" s="1134"/>
      <c r="L1654" s="1135">
        <v>2728</v>
      </c>
      <c r="M1654" s="1135">
        <v>2728</v>
      </c>
      <c r="N1654" s="1127">
        <v>1627.56</v>
      </c>
      <c r="O1654" s="1128">
        <v>0</v>
      </c>
      <c r="P1654" s="1137" t="s">
        <v>286</v>
      </c>
      <c r="Q1654" s="1138" t="s">
        <v>286</v>
      </c>
      <c r="R1654" s="1139"/>
    </row>
    <row r="1655" spans="1:18" s="1140" customFormat="1" ht="36" customHeight="1">
      <c r="A1655" s="1129"/>
      <c r="B1655" s="1130"/>
      <c r="C1655" s="1131"/>
      <c r="D1655" s="1132"/>
      <c r="E1655" s="1124" t="s">
        <v>769</v>
      </c>
      <c r="F1655" s="1133"/>
      <c r="G1655" s="1133"/>
      <c r="H1655" s="1133"/>
      <c r="I1655" s="1133"/>
      <c r="J1655" s="1134"/>
      <c r="K1655" s="1134"/>
      <c r="L1655" s="1135">
        <v>2543</v>
      </c>
      <c r="M1655" s="1135">
        <v>3101</v>
      </c>
      <c r="N1655" s="1127">
        <v>2326</v>
      </c>
      <c r="O1655" s="1128">
        <f t="shared" ref="O1655:O1656" si="236">N1655/M1655</f>
        <v>0.75008061915511126</v>
      </c>
      <c r="P1655" s="1137" t="s">
        <v>286</v>
      </c>
      <c r="Q1655" s="1138" t="s">
        <v>286</v>
      </c>
      <c r="R1655" s="1139"/>
    </row>
    <row r="1656" spans="1:18" s="1140" customFormat="1" ht="36" customHeight="1">
      <c r="A1656" s="1129"/>
      <c r="B1656" s="1130"/>
      <c r="C1656" s="1131"/>
      <c r="D1656" s="1132"/>
      <c r="E1656" s="1124" t="s">
        <v>779</v>
      </c>
      <c r="F1656" s="1133"/>
      <c r="G1656" s="1133"/>
      <c r="H1656" s="1133"/>
      <c r="I1656" s="1133"/>
      <c r="J1656" s="1134"/>
      <c r="K1656" s="1134"/>
      <c r="L1656" s="1135">
        <v>300</v>
      </c>
      <c r="M1656" s="1135">
        <v>300</v>
      </c>
      <c r="N1656" s="1127">
        <v>40</v>
      </c>
      <c r="O1656" s="1128">
        <f t="shared" si="236"/>
        <v>0.13333333333333333</v>
      </c>
      <c r="P1656" s="1137" t="s">
        <v>286</v>
      </c>
      <c r="Q1656" s="1138" t="s">
        <v>286</v>
      </c>
      <c r="R1656" s="1139"/>
    </row>
    <row r="1657" spans="1:18" s="434" customFormat="1" ht="114.75" customHeight="1">
      <c r="A1657" s="705"/>
      <c r="B1657" s="710"/>
      <c r="C1657" s="571">
        <v>2</v>
      </c>
      <c r="D1657" s="572"/>
      <c r="E1657" s="569" t="s">
        <v>781</v>
      </c>
      <c r="F1657" s="563">
        <v>5538000</v>
      </c>
      <c r="G1657" s="563"/>
      <c r="H1657" s="563"/>
      <c r="I1657" s="563"/>
      <c r="J1657" s="563"/>
      <c r="K1657" s="563"/>
      <c r="L1657" s="563">
        <f>L1658+L1663+L1667</f>
        <v>0</v>
      </c>
      <c r="M1657" s="563">
        <f>M1658+M1663+M1667</f>
        <v>543090</v>
      </c>
      <c r="N1657" s="563">
        <f>N1658+N1663+N1667</f>
        <v>3118.08</v>
      </c>
      <c r="O1657" s="872">
        <f>N1657/M1657</f>
        <v>5.7413688338949342E-3</v>
      </c>
      <c r="P1657" s="1189" t="s">
        <v>286</v>
      </c>
      <c r="Q1657" s="823" t="s">
        <v>286</v>
      </c>
      <c r="R1657" s="958"/>
    </row>
    <row r="1658" spans="1:18" s="1080" customFormat="1" ht="50.1" customHeight="1">
      <c r="A1658" s="1070"/>
      <c r="B1658" s="1071"/>
      <c r="C1658" s="1072"/>
      <c r="D1658" s="1073" t="s">
        <v>674</v>
      </c>
      <c r="E1658" s="1074" t="s">
        <v>435</v>
      </c>
      <c r="F1658" s="1075">
        <f>100045+11595+59000+2740</f>
        <v>173380</v>
      </c>
      <c r="G1658" s="1075">
        <f>G1659</f>
        <v>0</v>
      </c>
      <c r="H1658" s="1075">
        <f>H1659</f>
        <v>0</v>
      </c>
      <c r="I1658" s="1075">
        <f>I1659</f>
        <v>0</v>
      </c>
      <c r="J1658" s="1075">
        <f>J1659</f>
        <v>0</v>
      </c>
      <c r="K1658" s="1075">
        <f>K1659</f>
        <v>0</v>
      </c>
      <c r="L1658" s="1184">
        <f>SUM(L1660:L1661)</f>
        <v>0</v>
      </c>
      <c r="M1658" s="1184">
        <f>SUM(M1660:M1662)</f>
        <v>6897</v>
      </c>
      <c r="N1658" s="1184">
        <f>SUM(N1660:N1661)</f>
        <v>0</v>
      </c>
      <c r="O1658" s="1185">
        <f>N1658/M1658</f>
        <v>0</v>
      </c>
      <c r="P1658" s="1077" t="s">
        <v>286</v>
      </c>
      <c r="Q1658" s="1078" t="s">
        <v>286</v>
      </c>
      <c r="R1658" s="1079"/>
    </row>
    <row r="1659" spans="1:18" s="1153" customFormat="1" ht="32.25" customHeight="1">
      <c r="A1659" s="1070"/>
      <c r="B1659" s="1145"/>
      <c r="C1659" s="1072"/>
      <c r="D1659" s="1073"/>
      <c r="E1659" s="1146" t="s">
        <v>16</v>
      </c>
      <c r="F1659" s="1147"/>
      <c r="G1659" s="1147"/>
      <c r="H1659" s="1147"/>
      <c r="I1659" s="1147"/>
      <c r="J1659" s="1148"/>
      <c r="K1659" s="1148"/>
      <c r="L1659" s="1186"/>
      <c r="M1659" s="1186"/>
      <c r="N1659" s="1186"/>
      <c r="O1659" s="1185"/>
      <c r="P1659" s="1150"/>
      <c r="Q1659" s="1151"/>
      <c r="R1659" s="1152"/>
    </row>
    <row r="1660" spans="1:18" s="1094" customFormat="1" ht="36" customHeight="1">
      <c r="A1660" s="1081"/>
      <c r="B1660" s="1082"/>
      <c r="C1660" s="1083"/>
      <c r="D1660" s="1084"/>
      <c r="E1660" s="1085" t="s">
        <v>772</v>
      </c>
      <c r="F1660" s="1086"/>
      <c r="G1660" s="1086"/>
      <c r="H1660" s="1086"/>
      <c r="I1660" s="1086"/>
      <c r="J1660" s="1087"/>
      <c r="K1660" s="1087"/>
      <c r="L1660" s="1088">
        <v>0</v>
      </c>
      <c r="M1660" s="1088">
        <v>5797</v>
      </c>
      <c r="N1660" s="1089">
        <v>0</v>
      </c>
      <c r="O1660" s="1090">
        <f t="shared" ref="O1660:O1661" si="237">N1660/M1660</f>
        <v>0</v>
      </c>
      <c r="P1660" s="1091" t="s">
        <v>286</v>
      </c>
      <c r="Q1660" s="1092" t="s">
        <v>286</v>
      </c>
      <c r="R1660" s="1093"/>
    </row>
    <row r="1661" spans="1:18" s="1094" customFormat="1" ht="36" customHeight="1">
      <c r="A1661" s="1081"/>
      <c r="B1661" s="1082"/>
      <c r="C1661" s="1083"/>
      <c r="D1661" s="1084"/>
      <c r="E1661" s="1085" t="s">
        <v>773</v>
      </c>
      <c r="F1661" s="1086"/>
      <c r="G1661" s="1086"/>
      <c r="H1661" s="1086"/>
      <c r="I1661" s="1086"/>
      <c r="J1661" s="1087"/>
      <c r="K1661" s="1087"/>
      <c r="L1661" s="1088">
        <v>0</v>
      </c>
      <c r="M1661" s="1088">
        <v>1100</v>
      </c>
      <c r="N1661" s="1089">
        <v>0</v>
      </c>
      <c r="O1661" s="1090">
        <f t="shared" si="237"/>
        <v>0</v>
      </c>
      <c r="P1661" s="1091" t="s">
        <v>286</v>
      </c>
      <c r="Q1661" s="1092" t="s">
        <v>286</v>
      </c>
      <c r="R1661" s="1093"/>
    </row>
    <row r="1662" spans="1:18" s="1094" customFormat="1" ht="36" customHeight="1">
      <c r="A1662" s="1081"/>
      <c r="B1662" s="1082"/>
      <c r="C1662" s="1083"/>
      <c r="D1662" s="1084"/>
      <c r="E1662" s="1085" t="s">
        <v>782</v>
      </c>
      <c r="F1662" s="1086"/>
      <c r="G1662" s="1086"/>
      <c r="H1662" s="1086"/>
      <c r="I1662" s="1086"/>
      <c r="J1662" s="1087"/>
      <c r="K1662" s="1087"/>
      <c r="L1662" s="1088">
        <v>0</v>
      </c>
      <c r="M1662" s="1088">
        <v>0</v>
      </c>
      <c r="N1662" s="1089">
        <v>0</v>
      </c>
      <c r="O1662" s="1090">
        <v>0</v>
      </c>
      <c r="P1662" s="1091" t="s">
        <v>286</v>
      </c>
      <c r="Q1662" s="1092" t="s">
        <v>286</v>
      </c>
      <c r="R1662" s="1093"/>
    </row>
    <row r="1663" spans="1:18" s="1123" customFormat="1" ht="50.1" customHeight="1">
      <c r="A1663" s="1112"/>
      <c r="B1663" s="1113"/>
      <c r="C1663" s="1114"/>
      <c r="D1663" s="1115" t="s">
        <v>678</v>
      </c>
      <c r="E1663" s="1116" t="s">
        <v>446</v>
      </c>
      <c r="F1663" s="1117">
        <f>7550+500+500+5500+6300</f>
        <v>20350</v>
      </c>
      <c r="G1663" s="1117"/>
      <c r="H1663" s="1117"/>
      <c r="I1663" s="1117"/>
      <c r="J1663" s="1118"/>
      <c r="K1663" s="1169"/>
      <c r="L1663" s="1190">
        <f>L1665+L1666</f>
        <v>0</v>
      </c>
      <c r="M1663" s="1190">
        <f t="shared" ref="M1663:N1663" si="238">M1665+M1666</f>
        <v>1793</v>
      </c>
      <c r="N1663" s="1190">
        <f t="shared" si="238"/>
        <v>118.08</v>
      </c>
      <c r="O1663" s="1191">
        <f>N1663/M1663</f>
        <v>6.5856107083100954E-2</v>
      </c>
      <c r="P1663" s="1120" t="s">
        <v>286</v>
      </c>
      <c r="Q1663" s="1121" t="s">
        <v>286</v>
      </c>
      <c r="R1663" s="1122"/>
    </row>
    <row r="1664" spans="1:18" s="1181" customFormat="1" ht="30" customHeight="1">
      <c r="A1664" s="1112"/>
      <c r="B1664" s="1171"/>
      <c r="C1664" s="1114"/>
      <c r="D1664" s="1115"/>
      <c r="E1664" s="1172" t="s">
        <v>16</v>
      </c>
      <c r="F1664" s="1173"/>
      <c r="G1664" s="1173"/>
      <c r="H1664" s="1173"/>
      <c r="I1664" s="1173"/>
      <c r="J1664" s="1174"/>
      <c r="K1664" s="1175"/>
      <c r="L1664" s="1176"/>
      <c r="M1664" s="1174"/>
      <c r="N1664" s="1174"/>
      <c r="O1664" s="1177"/>
      <c r="P1664" s="1178"/>
      <c r="Q1664" s="1179"/>
      <c r="R1664" s="1180"/>
    </row>
    <row r="1665" spans="1:25" s="1181" customFormat="1" ht="36" customHeight="1">
      <c r="A1665" s="1112"/>
      <c r="B1665" s="1171"/>
      <c r="C1665" s="1114"/>
      <c r="D1665" s="1115"/>
      <c r="E1665" s="1172" t="s">
        <v>783</v>
      </c>
      <c r="F1665" s="1173"/>
      <c r="G1665" s="1173"/>
      <c r="H1665" s="1173"/>
      <c r="I1665" s="1173"/>
      <c r="J1665" s="1174"/>
      <c r="K1665" s="1174"/>
      <c r="L1665" s="1127">
        <v>0</v>
      </c>
      <c r="M1665" s="1127">
        <v>0</v>
      </c>
      <c r="N1665" s="1127">
        <v>0</v>
      </c>
      <c r="O1665" s="1128">
        <v>0</v>
      </c>
      <c r="P1665" s="1178" t="s">
        <v>286</v>
      </c>
      <c r="Q1665" s="1179" t="s">
        <v>286</v>
      </c>
      <c r="R1665" s="1180"/>
    </row>
    <row r="1666" spans="1:25" s="1140" customFormat="1" ht="36" customHeight="1">
      <c r="A1666" s="1129"/>
      <c r="B1666" s="1130"/>
      <c r="C1666" s="1131"/>
      <c r="D1666" s="1132"/>
      <c r="E1666" s="1124" t="s">
        <v>784</v>
      </c>
      <c r="F1666" s="1133"/>
      <c r="G1666" s="1133"/>
      <c r="H1666" s="1133"/>
      <c r="I1666" s="1133"/>
      <c r="J1666" s="1134"/>
      <c r="K1666" s="1134"/>
      <c r="L1666" s="1135">
        <v>0</v>
      </c>
      <c r="M1666" s="1135">
        <v>1793</v>
      </c>
      <c r="N1666" s="1127">
        <v>118.08</v>
      </c>
      <c r="O1666" s="1128">
        <f t="shared" ref="O1666" si="239">N1666/M1666</f>
        <v>6.5856107083100954E-2</v>
      </c>
      <c r="P1666" s="1137" t="s">
        <v>286</v>
      </c>
      <c r="Q1666" s="1138" t="s">
        <v>286</v>
      </c>
      <c r="R1666" s="1139"/>
    </row>
    <row r="1667" spans="1:25" s="1080" customFormat="1" ht="50.1" customHeight="1">
      <c r="A1667" s="1070"/>
      <c r="B1667" s="1071"/>
      <c r="C1667" s="1072"/>
      <c r="D1667" s="1073" t="s">
        <v>740</v>
      </c>
      <c r="E1667" s="1074" t="s">
        <v>738</v>
      </c>
      <c r="F1667" s="1075">
        <v>4866270</v>
      </c>
      <c r="G1667" s="1075" t="e">
        <f>#REF!</f>
        <v>#REF!</v>
      </c>
      <c r="H1667" s="1075" t="e">
        <f>#REF!</f>
        <v>#REF!</v>
      </c>
      <c r="I1667" s="1075" t="e">
        <f>#REF!</f>
        <v>#REF!</v>
      </c>
      <c r="J1667" s="1075" t="e">
        <f>#REF!</f>
        <v>#REF!</v>
      </c>
      <c r="K1667" s="1075" t="e">
        <f>#REF!</f>
        <v>#REF!</v>
      </c>
      <c r="L1667" s="1075">
        <v>0</v>
      </c>
      <c r="M1667" s="1075">
        <v>534400</v>
      </c>
      <c r="N1667" s="1095">
        <v>3000</v>
      </c>
      <c r="O1667" s="1076">
        <f>N1667/M1667</f>
        <v>5.6137724550898204E-3</v>
      </c>
      <c r="P1667" s="1077" t="s">
        <v>286</v>
      </c>
      <c r="Q1667" s="1078" t="s">
        <v>286</v>
      </c>
      <c r="R1667" s="1079"/>
    </row>
    <row r="1668" spans="1:25" s="232" customFormat="1" ht="59.25" customHeight="1">
      <c r="A1668" s="433"/>
      <c r="B1668" s="78">
        <v>85505</v>
      </c>
      <c r="C1668" s="77"/>
      <c r="D1668" s="181"/>
      <c r="E1668" s="391" t="s">
        <v>240</v>
      </c>
      <c r="F1668" s="414">
        <f t="shared" ref="F1668:J1668" si="240">F1669+F1670</f>
        <v>0</v>
      </c>
      <c r="G1668" s="414">
        <f t="shared" si="240"/>
        <v>0</v>
      </c>
      <c r="H1668" s="414">
        <f t="shared" si="240"/>
        <v>0</v>
      </c>
      <c r="I1668" s="414">
        <f t="shared" si="240"/>
        <v>0</v>
      </c>
      <c r="J1668" s="414">
        <f t="shared" si="240"/>
        <v>0</v>
      </c>
      <c r="K1668" s="414">
        <f>K1669+K1670</f>
        <v>118000</v>
      </c>
      <c r="L1668" s="95">
        <f>F1668+G1668+H1668+I1668+J1668+K1668</f>
        <v>118000</v>
      </c>
      <c r="M1668" s="95">
        <f>SUM(M1669:M1671)</f>
        <v>168000</v>
      </c>
      <c r="N1668" s="95">
        <f>SUM(N1669:N1671)</f>
        <v>87900</v>
      </c>
      <c r="O1668" s="868">
        <f>N1668/M1668</f>
        <v>0.52321428571428574</v>
      </c>
      <c r="P1668" s="785" t="s">
        <v>286</v>
      </c>
    </row>
    <row r="1669" spans="1:25" s="438" customFormat="1" ht="69.75" customHeight="1">
      <c r="A1669" s="558"/>
      <c r="B1669" s="475"/>
      <c r="C1669" s="559">
        <v>1</v>
      </c>
      <c r="D1669" s="560"/>
      <c r="E1669" s="561" t="s">
        <v>241</v>
      </c>
      <c r="F1669" s="562"/>
      <c r="G1669" s="562"/>
      <c r="H1669" s="562"/>
      <c r="I1669" s="562"/>
      <c r="J1669" s="562"/>
      <c r="K1669" s="564">
        <f>50000+4000</f>
        <v>54000</v>
      </c>
      <c r="L1669" s="563">
        <f t="shared" ref="L1669" si="241">SUM(F1669:K1669)</f>
        <v>54000</v>
      </c>
      <c r="M1669" s="563">
        <v>54000</v>
      </c>
      <c r="N1669" s="563">
        <v>27000</v>
      </c>
      <c r="O1669" s="872">
        <f>N1669/M1669</f>
        <v>0.5</v>
      </c>
      <c r="P1669" s="761" t="s">
        <v>286</v>
      </c>
    </row>
    <row r="1670" spans="1:25" s="438" customFormat="1" ht="69.75" customHeight="1">
      <c r="A1670" s="558"/>
      <c r="B1670" s="475"/>
      <c r="C1670" s="559">
        <v>2</v>
      </c>
      <c r="D1670" s="560"/>
      <c r="E1670" s="561" t="s">
        <v>242</v>
      </c>
      <c r="F1670" s="562"/>
      <c r="G1670" s="562"/>
      <c r="H1670" s="562"/>
      <c r="I1670" s="562"/>
      <c r="J1670" s="562"/>
      <c r="K1670" s="564">
        <f>47400-1000+17600</f>
        <v>64000</v>
      </c>
      <c r="L1670" s="563">
        <f t="shared" ref="L1670" si="242">SUM(F1670:K1670)</f>
        <v>64000</v>
      </c>
      <c r="M1670" s="563">
        <v>64000</v>
      </c>
      <c r="N1670" s="563">
        <v>43200</v>
      </c>
      <c r="O1670" s="872">
        <f t="shared" ref="O1670:O1671" si="243">N1670/M1670</f>
        <v>0.67500000000000004</v>
      </c>
      <c r="P1670" s="761" t="s">
        <v>286</v>
      </c>
    </row>
    <row r="1671" spans="1:25" s="438" customFormat="1" ht="69.75" customHeight="1">
      <c r="A1671" s="558"/>
      <c r="B1671" s="475"/>
      <c r="C1671" s="559">
        <v>3</v>
      </c>
      <c r="D1671" s="560"/>
      <c r="E1671" s="561" t="s">
        <v>860</v>
      </c>
      <c r="F1671" s="562"/>
      <c r="G1671" s="562"/>
      <c r="H1671" s="562"/>
      <c r="I1671" s="562"/>
      <c r="J1671" s="562"/>
      <c r="K1671" s="564">
        <f>47400-1000+17600</f>
        <v>64000</v>
      </c>
      <c r="L1671" s="563">
        <v>50000</v>
      </c>
      <c r="M1671" s="563">
        <v>50000</v>
      </c>
      <c r="N1671" s="563">
        <v>17700</v>
      </c>
      <c r="O1671" s="872">
        <f t="shared" si="243"/>
        <v>0.35399999999999998</v>
      </c>
      <c r="P1671" s="761" t="s">
        <v>286</v>
      </c>
    </row>
    <row r="1672" spans="1:25" s="232" customFormat="1" ht="131.4" customHeight="1">
      <c r="A1672" s="433"/>
      <c r="B1672" s="78">
        <v>85513</v>
      </c>
      <c r="C1672" s="77"/>
      <c r="D1672" s="181"/>
      <c r="E1672" s="391" t="s">
        <v>263</v>
      </c>
      <c r="F1672" s="414">
        <f>F1673</f>
        <v>28500</v>
      </c>
      <c r="G1672" s="414">
        <f t="shared" ref="G1672:O1672" si="244">G1673</f>
        <v>0</v>
      </c>
      <c r="H1672" s="414">
        <f t="shared" si="244"/>
        <v>0</v>
      </c>
      <c r="I1672" s="414">
        <f t="shared" si="244"/>
        <v>0</v>
      </c>
      <c r="J1672" s="414">
        <f t="shared" si="244"/>
        <v>0</v>
      </c>
      <c r="K1672" s="414">
        <f t="shared" si="244"/>
        <v>0</v>
      </c>
      <c r="L1672" s="95">
        <f t="shared" si="244"/>
        <v>28500</v>
      </c>
      <c r="M1672" s="95">
        <f t="shared" si="244"/>
        <v>28500</v>
      </c>
      <c r="N1672" s="95">
        <f t="shared" si="244"/>
        <v>17989.8</v>
      </c>
      <c r="O1672" s="868">
        <f t="shared" si="244"/>
        <v>0.6312210526315789</v>
      </c>
      <c r="P1672" s="785" t="s">
        <v>286</v>
      </c>
    </row>
    <row r="1673" spans="1:25" s="434" customFormat="1" ht="73.8" customHeight="1">
      <c r="A1673" s="433"/>
      <c r="B1673" s="470"/>
      <c r="C1673" s="453">
        <v>1</v>
      </c>
      <c r="D1673" s="449"/>
      <c r="E1673" s="450" t="s">
        <v>279</v>
      </c>
      <c r="F1673" s="423">
        <v>28500</v>
      </c>
      <c r="G1673" s="423"/>
      <c r="H1673" s="423"/>
      <c r="I1673" s="423"/>
      <c r="J1673" s="423"/>
      <c r="K1673" s="423"/>
      <c r="L1673" s="423">
        <f t="shared" ref="L1673:M1676" si="245">SUM(F1673:K1673)</f>
        <v>28500</v>
      </c>
      <c r="M1673" s="423">
        <f t="shared" si="245"/>
        <v>28500</v>
      </c>
      <c r="N1673" s="423">
        <v>17989.8</v>
      </c>
      <c r="O1673" s="883">
        <f>N1673/M1673</f>
        <v>0.6312210526315789</v>
      </c>
      <c r="P1673" s="776" t="s">
        <v>286</v>
      </c>
    </row>
    <row r="1674" spans="1:25" s="79" customFormat="1" ht="57.75" customHeight="1">
      <c r="A1674" s="86">
        <v>18</v>
      </c>
      <c r="B1674" s="85">
        <v>900</v>
      </c>
      <c r="C1674" s="84"/>
      <c r="D1674" s="83"/>
      <c r="E1674" s="82" t="s">
        <v>22</v>
      </c>
      <c r="F1674" s="81">
        <f>F1675+F1686+F1691+F1718+F1729+F1732</f>
        <v>0</v>
      </c>
      <c r="G1674" s="81">
        <f>G1675+G1686+G1691+G1718+G1729+G1732</f>
        <v>0</v>
      </c>
      <c r="H1674" s="81">
        <f>H1675+H1686+H1691+H1718+H1729+H1732</f>
        <v>0</v>
      </c>
      <c r="I1674" s="81">
        <f>I1675+I1686+I1691+I1718+I1729+I1732</f>
        <v>0</v>
      </c>
      <c r="J1674" s="81">
        <f>J1675+J1686+J1691+J1718+J1729+J1732</f>
        <v>0</v>
      </c>
      <c r="K1674" s="81">
        <f>K1675+K1686+K1691+K1718+K1729+K1732</f>
        <v>5642421.79</v>
      </c>
      <c r="L1674" s="80">
        <f t="shared" si="245"/>
        <v>5642421.79</v>
      </c>
      <c r="M1674" s="80">
        <f>M1675+M1686+M1691+M1718+M1729+M1732</f>
        <v>6077620.9799999995</v>
      </c>
      <c r="N1674" s="80">
        <f>N1675+N1686+N1691+N1718+N1729+N1732</f>
        <v>2610181.92</v>
      </c>
      <c r="O1674" s="867">
        <f>N1674/M1674</f>
        <v>0.42947428419598488</v>
      </c>
      <c r="P1674" s="760" t="s">
        <v>286</v>
      </c>
    </row>
    <row r="1675" spans="1:25" s="159" customFormat="1" ht="64.5" customHeight="1">
      <c r="A1675" s="643"/>
      <c r="B1675" s="168">
        <v>90002</v>
      </c>
      <c r="C1675" s="167"/>
      <c r="D1675" s="166"/>
      <c r="E1675" s="173" t="s">
        <v>264</v>
      </c>
      <c r="F1675" s="164">
        <f t="shared" ref="F1675:J1675" si="246">F1676</f>
        <v>0</v>
      </c>
      <c r="G1675" s="164">
        <f t="shared" si="246"/>
        <v>0</v>
      </c>
      <c r="H1675" s="164">
        <f t="shared" si="246"/>
        <v>0</v>
      </c>
      <c r="I1675" s="164">
        <f t="shared" si="246"/>
        <v>0</v>
      </c>
      <c r="J1675" s="164">
        <f t="shared" si="246"/>
        <v>0</v>
      </c>
      <c r="K1675" s="164">
        <f>K1676+K1682</f>
        <v>4020000</v>
      </c>
      <c r="L1675" s="163">
        <f t="shared" si="245"/>
        <v>4020000</v>
      </c>
      <c r="M1675" s="163">
        <f>M1676+M1682+M1684</f>
        <v>4020000</v>
      </c>
      <c r="N1675" s="163">
        <f>N1676+N1682+N1684</f>
        <v>1947089.36</v>
      </c>
      <c r="O1675" s="934">
        <f>N1675/M1675</f>
        <v>0.48435058706467665</v>
      </c>
      <c r="P1675" s="773" t="s">
        <v>286</v>
      </c>
      <c r="Q1675" s="160"/>
      <c r="R1675" s="160"/>
      <c r="S1675" s="160"/>
      <c r="T1675" s="160"/>
      <c r="U1675" s="160"/>
      <c r="V1675" s="160"/>
      <c r="W1675" s="160"/>
      <c r="X1675" s="160"/>
      <c r="Y1675" s="160"/>
    </row>
    <row r="1676" spans="1:25" s="415" customFormat="1" ht="97.2" customHeight="1">
      <c r="A1676" s="573"/>
      <c r="B1676" s="574"/>
      <c r="C1676" s="575">
        <v>1</v>
      </c>
      <c r="D1676" s="576"/>
      <c r="E1676" s="577" t="s">
        <v>205</v>
      </c>
      <c r="F1676" s="578"/>
      <c r="G1676" s="579"/>
      <c r="H1676" s="563"/>
      <c r="I1676" s="563"/>
      <c r="J1676" s="563"/>
      <c r="K1676" s="563">
        <f>9000+3902970+3000+2543+700+500+2000+500+95752+17537+2513+6800-43815</f>
        <v>4000000</v>
      </c>
      <c r="L1676" s="563">
        <f t="shared" si="245"/>
        <v>4000000</v>
      </c>
      <c r="M1676" s="563">
        <v>4000000</v>
      </c>
      <c r="N1676" s="563">
        <v>1947089.36</v>
      </c>
      <c r="O1676" s="872">
        <f>N1676/M1676</f>
        <v>0.48677234000000003</v>
      </c>
      <c r="P1676" s="762" t="s">
        <v>286</v>
      </c>
      <c r="R1676" s="415" t="s">
        <v>830</v>
      </c>
    </row>
    <row r="1677" spans="1:25" s="435" customFormat="1" ht="39.9" customHeight="1">
      <c r="A1677" s="684"/>
      <c r="B1677" s="658"/>
      <c r="C1677" s="63"/>
      <c r="D1677" s="447"/>
      <c r="E1677" s="440" t="s">
        <v>16</v>
      </c>
      <c r="F1677" s="660"/>
      <c r="G1677" s="661"/>
      <c r="H1677" s="661"/>
      <c r="I1677" s="661"/>
      <c r="J1677" s="661"/>
      <c r="K1677" s="661"/>
      <c r="L1677" s="661"/>
      <c r="M1677" s="661"/>
      <c r="N1677" s="661"/>
      <c r="O1677" s="882"/>
      <c r="P1677" s="1034" t="s">
        <v>244</v>
      </c>
      <c r="Q1677" s="776"/>
    </row>
    <row r="1678" spans="1:25" s="435" customFormat="1" ht="109.8" customHeight="1">
      <c r="A1678" s="684"/>
      <c r="B1678" s="658"/>
      <c r="C1678" s="63"/>
      <c r="D1678" s="447"/>
      <c r="E1678" s="1269" t="s">
        <v>919</v>
      </c>
      <c r="F1678" s="1269"/>
      <c r="G1678" s="1269"/>
      <c r="H1678" s="1269"/>
      <c r="I1678" s="1269"/>
      <c r="J1678" s="1269"/>
      <c r="K1678" s="1269"/>
      <c r="L1678" s="1269"/>
      <c r="M1678" s="1269"/>
      <c r="N1678" s="1269"/>
      <c r="O1678" s="1271"/>
      <c r="P1678" s="776" t="s">
        <v>286</v>
      </c>
      <c r="Q1678" s="823"/>
      <c r="R1678" s="776"/>
    </row>
    <row r="1679" spans="1:25" s="435" customFormat="1" ht="60" customHeight="1">
      <c r="A1679" s="684"/>
      <c r="B1679" s="658"/>
      <c r="C1679" s="63"/>
      <c r="D1679" s="447"/>
      <c r="E1679" s="1269" t="s">
        <v>638</v>
      </c>
      <c r="F1679" s="1269"/>
      <c r="G1679" s="1269"/>
      <c r="H1679" s="1269"/>
      <c r="I1679" s="1269"/>
      <c r="J1679" s="1269"/>
      <c r="K1679" s="1269"/>
      <c r="L1679" s="1269"/>
      <c r="M1679" s="1269"/>
      <c r="N1679" s="1269"/>
      <c r="O1679" s="1271"/>
      <c r="P1679" s="776" t="s">
        <v>286</v>
      </c>
      <c r="Q1679" s="823"/>
      <c r="R1679" s="776"/>
    </row>
    <row r="1680" spans="1:25" s="435" customFormat="1" ht="36.6" customHeight="1">
      <c r="A1680" s="684"/>
      <c r="B1680" s="658"/>
      <c r="C1680" s="63"/>
      <c r="D1680" s="447"/>
      <c r="E1680" s="1269" t="s">
        <v>825</v>
      </c>
      <c r="F1680" s="1269"/>
      <c r="G1680" s="1269"/>
      <c r="H1680" s="1269"/>
      <c r="I1680" s="1269"/>
      <c r="J1680" s="1269"/>
      <c r="K1680" s="1269"/>
      <c r="L1680" s="1269"/>
      <c r="M1680" s="1269"/>
      <c r="N1680" s="1269"/>
      <c r="O1680" s="1271"/>
      <c r="P1680" s="776"/>
      <c r="Q1680" s="823"/>
      <c r="R1680" s="776"/>
    </row>
    <row r="1681" spans="1:25" s="435" customFormat="1" ht="43.2" customHeight="1">
      <c r="A1681" s="684"/>
      <c r="B1681" s="658"/>
      <c r="C1681" s="63"/>
      <c r="D1681" s="447"/>
      <c r="E1681" s="1269" t="s">
        <v>637</v>
      </c>
      <c r="F1681" s="1269"/>
      <c r="G1681" s="1269"/>
      <c r="H1681" s="1269"/>
      <c r="I1681" s="1269"/>
      <c r="J1681" s="1269"/>
      <c r="K1681" s="1269"/>
      <c r="L1681" s="1269"/>
      <c r="M1681" s="1269"/>
      <c r="N1681" s="1269"/>
      <c r="O1681" s="1271"/>
      <c r="P1681" s="776" t="s">
        <v>286</v>
      </c>
      <c r="Q1681" s="823"/>
      <c r="R1681" s="776"/>
    </row>
    <row r="1682" spans="1:25" s="415" customFormat="1" ht="59.4" customHeight="1">
      <c r="A1682" s="693"/>
      <c r="B1682" s="1349"/>
      <c r="C1682" s="575">
        <v>2</v>
      </c>
      <c r="D1682" s="576"/>
      <c r="E1682" s="577" t="s">
        <v>414</v>
      </c>
      <c r="F1682" s="578"/>
      <c r="G1682" s="579"/>
      <c r="H1682" s="563"/>
      <c r="I1682" s="563"/>
      <c r="J1682" s="563"/>
      <c r="K1682" s="563">
        <v>20000</v>
      </c>
      <c r="L1682" s="563">
        <f>SUM(F1682:K1682)</f>
        <v>20000</v>
      </c>
      <c r="M1682" s="563">
        <v>0</v>
      </c>
      <c r="N1682" s="563">
        <v>0</v>
      </c>
      <c r="O1682" s="872">
        <v>0</v>
      </c>
      <c r="P1682" s="762" t="s">
        <v>286</v>
      </c>
    </row>
    <row r="1683" spans="1:25" s="435" customFormat="1" ht="43.2" customHeight="1">
      <c r="A1683" s="684"/>
      <c r="B1683" s="658"/>
      <c r="C1683" s="63"/>
      <c r="D1683" s="447"/>
      <c r="E1683" s="1269" t="s">
        <v>920</v>
      </c>
      <c r="F1683" s="1269"/>
      <c r="G1683" s="1269"/>
      <c r="H1683" s="1269"/>
      <c r="I1683" s="1269"/>
      <c r="J1683" s="1269"/>
      <c r="K1683" s="1269"/>
      <c r="L1683" s="1269"/>
      <c r="M1683" s="1269"/>
      <c r="N1683" s="1269"/>
      <c r="O1683" s="1271"/>
      <c r="P1683" s="776"/>
      <c r="Q1683" s="823"/>
      <c r="R1683" s="776"/>
    </row>
    <row r="1684" spans="1:25" s="415" customFormat="1" ht="74.400000000000006" customHeight="1">
      <c r="A1684" s="573"/>
      <c r="B1684" s="574"/>
      <c r="C1684" s="575">
        <v>3</v>
      </c>
      <c r="D1684" s="576"/>
      <c r="E1684" s="577" t="s">
        <v>829</v>
      </c>
      <c r="F1684" s="578"/>
      <c r="G1684" s="579"/>
      <c r="H1684" s="563"/>
      <c r="I1684" s="563"/>
      <c r="J1684" s="563"/>
      <c r="K1684" s="563">
        <v>20000</v>
      </c>
      <c r="L1684" s="563">
        <v>0</v>
      </c>
      <c r="M1684" s="563">
        <v>20000</v>
      </c>
      <c r="N1684" s="563">
        <v>0</v>
      </c>
      <c r="O1684" s="872">
        <v>0</v>
      </c>
      <c r="P1684" s="762" t="s">
        <v>286</v>
      </c>
    </row>
    <row r="1685" spans="1:25" s="435" customFormat="1" ht="48.75" customHeight="1">
      <c r="A1685" s="684"/>
      <c r="B1685" s="658"/>
      <c r="C1685" s="63"/>
      <c r="D1685" s="447"/>
      <c r="E1685" s="1268" t="s">
        <v>826</v>
      </c>
      <c r="F1685" s="1269"/>
      <c r="G1685" s="1269"/>
      <c r="H1685" s="1269"/>
      <c r="I1685" s="1269"/>
      <c r="J1685" s="1269"/>
      <c r="K1685" s="1269"/>
      <c r="L1685" s="1269"/>
      <c r="M1685" s="1269"/>
      <c r="N1685" s="1269"/>
      <c r="O1685" s="1271"/>
      <c r="P1685" s="776" t="s">
        <v>286</v>
      </c>
      <c r="Q1685" s="823"/>
      <c r="R1685" s="776"/>
    </row>
    <row r="1686" spans="1:25" s="159" customFormat="1" ht="60" customHeight="1">
      <c r="A1686" s="643"/>
      <c r="B1686" s="168">
        <v>90003</v>
      </c>
      <c r="C1686" s="167"/>
      <c r="D1686" s="166"/>
      <c r="E1686" s="165" t="s">
        <v>20</v>
      </c>
      <c r="F1686" s="164">
        <f t="shared" ref="F1686:K1686" si="247">SUM(F1687:F1687)</f>
        <v>0</v>
      </c>
      <c r="G1686" s="164">
        <f t="shared" si="247"/>
        <v>0</v>
      </c>
      <c r="H1686" s="164">
        <f t="shared" si="247"/>
        <v>0</v>
      </c>
      <c r="I1686" s="164">
        <f t="shared" si="247"/>
        <v>0</v>
      </c>
      <c r="J1686" s="164">
        <f t="shared" si="247"/>
        <v>0</v>
      </c>
      <c r="K1686" s="164">
        <f t="shared" si="247"/>
        <v>160000</v>
      </c>
      <c r="L1686" s="163">
        <f t="shared" ref="L1686:L1687" si="248">SUM(F1686:K1686)</f>
        <v>160000</v>
      </c>
      <c r="M1686" s="163">
        <f>M1687+M1689</f>
        <v>219365</v>
      </c>
      <c r="N1686" s="163">
        <f>N1687+N1689</f>
        <v>38806.01</v>
      </c>
      <c r="O1686" s="934">
        <f>N1686/M1686</f>
        <v>0.1769015567661204</v>
      </c>
      <c r="P1686" s="773" t="s">
        <v>286</v>
      </c>
      <c r="Q1686" s="160"/>
      <c r="R1686" s="160"/>
      <c r="S1686" s="160"/>
      <c r="T1686" s="160"/>
      <c r="U1686" s="160"/>
      <c r="V1686" s="160"/>
      <c r="W1686" s="160"/>
      <c r="X1686" s="160"/>
      <c r="Y1686" s="160"/>
    </row>
    <row r="1687" spans="1:25" s="79" customFormat="1" ht="76.2" customHeight="1">
      <c r="A1687" s="394"/>
      <c r="B1687" s="158"/>
      <c r="C1687" s="157">
        <v>1</v>
      </c>
      <c r="D1687" s="156"/>
      <c r="E1687" s="162" t="s">
        <v>921</v>
      </c>
      <c r="F1687" s="155"/>
      <c r="G1687" s="154"/>
      <c r="H1687" s="154"/>
      <c r="I1687" s="154"/>
      <c r="J1687" s="154"/>
      <c r="K1687" s="154">
        <v>160000</v>
      </c>
      <c r="L1687" s="153">
        <f t="shared" si="248"/>
        <v>160000</v>
      </c>
      <c r="M1687" s="153">
        <v>109365</v>
      </c>
      <c r="N1687" s="153">
        <v>38806.01</v>
      </c>
      <c r="O1687" s="935">
        <f>N1687/M1687</f>
        <v>0.35483024733689938</v>
      </c>
      <c r="P1687" s="769" t="s">
        <v>286</v>
      </c>
      <c r="Q1687" s="143"/>
      <c r="R1687" s="143"/>
      <c r="S1687" s="143"/>
      <c r="T1687" s="143"/>
      <c r="U1687" s="143"/>
      <c r="V1687" s="143"/>
      <c r="W1687" s="143"/>
      <c r="X1687" s="143"/>
      <c r="Y1687" s="143"/>
    </row>
    <row r="1688" spans="1:25" s="435" customFormat="1" ht="86.4" customHeight="1">
      <c r="A1688" s="684"/>
      <c r="B1688" s="658"/>
      <c r="C1688" s="63"/>
      <c r="D1688" s="447"/>
      <c r="E1688" s="1268" t="s">
        <v>922</v>
      </c>
      <c r="F1688" s="1269"/>
      <c r="G1688" s="1269"/>
      <c r="H1688" s="1269"/>
      <c r="I1688" s="1269"/>
      <c r="J1688" s="1269"/>
      <c r="K1688" s="1269"/>
      <c r="L1688" s="1269"/>
      <c r="M1688" s="1269"/>
      <c r="N1688" s="1269"/>
      <c r="O1688" s="1271"/>
      <c r="P1688" s="776" t="s">
        <v>286</v>
      </c>
      <c r="Q1688" s="823"/>
      <c r="R1688" s="776"/>
    </row>
    <row r="1689" spans="1:25" s="415" customFormat="1" ht="57.6" customHeight="1">
      <c r="A1689" s="650"/>
      <c r="B1689" s="651"/>
      <c r="C1689" s="793">
        <v>2</v>
      </c>
      <c r="D1689" s="1057"/>
      <c r="E1689" s="1218" t="s">
        <v>831</v>
      </c>
      <c r="F1689" s="588"/>
      <c r="G1689" s="596"/>
      <c r="H1689" s="596"/>
      <c r="I1689" s="596"/>
      <c r="J1689" s="596"/>
      <c r="K1689" s="596">
        <v>160000</v>
      </c>
      <c r="L1689" s="589">
        <v>0</v>
      </c>
      <c r="M1689" s="589">
        <v>110000</v>
      </c>
      <c r="N1689" s="589">
        <v>0</v>
      </c>
      <c r="O1689" s="927">
        <v>0</v>
      </c>
      <c r="P1689" s="770" t="s">
        <v>286</v>
      </c>
      <c r="Q1689" s="103"/>
      <c r="R1689" s="103"/>
      <c r="S1689" s="103"/>
      <c r="T1689" s="103"/>
      <c r="U1689" s="103"/>
      <c r="V1689" s="103"/>
      <c r="W1689" s="103"/>
      <c r="X1689" s="103"/>
      <c r="Y1689" s="103"/>
    </row>
    <row r="1690" spans="1:25" s="435" customFormat="1" ht="46.2" customHeight="1">
      <c r="A1690" s="684"/>
      <c r="B1690" s="658"/>
      <c r="C1690" s="63"/>
      <c r="D1690" s="447"/>
      <c r="E1690" s="1268" t="s">
        <v>832</v>
      </c>
      <c r="F1690" s="1269"/>
      <c r="G1690" s="1269"/>
      <c r="H1690" s="1269"/>
      <c r="I1690" s="1269"/>
      <c r="J1690" s="1269"/>
      <c r="K1690" s="1269"/>
      <c r="L1690" s="1269"/>
      <c r="M1690" s="1269"/>
      <c r="N1690" s="1269"/>
      <c r="O1690" s="1271"/>
      <c r="P1690" s="776" t="s">
        <v>286</v>
      </c>
      <c r="Q1690" s="823"/>
      <c r="R1690" s="776"/>
    </row>
    <row r="1691" spans="1:25" s="159" customFormat="1" ht="63.75" customHeight="1">
      <c r="A1691" s="637"/>
      <c r="B1691" s="152">
        <v>90004</v>
      </c>
      <c r="C1691" s="151"/>
      <c r="D1691" s="150"/>
      <c r="E1691" s="149" t="s">
        <v>19</v>
      </c>
      <c r="F1691" s="148">
        <f>F1692+F1695+F1698+F1701+F1704+F1705+F1707+F1708+F1710</f>
        <v>0</v>
      </c>
      <c r="G1691" s="148">
        <f>G1692+G1695+G1698+G1701+G1704+G1705+G1707+G1708+G1710</f>
        <v>0</v>
      </c>
      <c r="H1691" s="148">
        <f>H1692+H1695+H1698+H1701+H1704+H1705+H1707+H1708+H1710</f>
        <v>0</v>
      </c>
      <c r="I1691" s="148">
        <f>I1692+I1695+I1698+I1701+I1704+I1705+I1707+I1708+I1710</f>
        <v>0</v>
      </c>
      <c r="J1691" s="148">
        <f>J1692+J1695+J1698+J1701+J1704+J1705+J1707+J1708+J1710</f>
        <v>0</v>
      </c>
      <c r="K1691" s="148">
        <f>K1692+K1695+K1698+K1701+K1704+K1705+K1707+K1708+K1710</f>
        <v>319202</v>
      </c>
      <c r="L1691" s="147">
        <f>SUM(F1691:K1691)</f>
        <v>319202</v>
      </c>
      <c r="M1691" s="147">
        <f>M1692+M1695+M1698+M1701+M1704+M1705+M1707+M1708+M1710+M1711+M1716</f>
        <v>629814.18999999994</v>
      </c>
      <c r="N1691" s="147">
        <f>N1692+N1695+N1698+N1701+N1704+N1705+N1707+N1708+N1710+N1711+N1716</f>
        <v>108175.08</v>
      </c>
      <c r="O1691" s="906">
        <f>N1691/M1691</f>
        <v>0.17175713363968509</v>
      </c>
      <c r="P1691" s="773" t="s">
        <v>286</v>
      </c>
      <c r="Q1691" s="160"/>
      <c r="R1691" s="160"/>
      <c r="S1691" s="160"/>
      <c r="T1691" s="160"/>
      <c r="U1691" s="160"/>
      <c r="V1691" s="160"/>
      <c r="W1691" s="160"/>
      <c r="X1691" s="160"/>
      <c r="Y1691" s="160"/>
    </row>
    <row r="1692" spans="1:25" s="415" customFormat="1" ht="108.6" customHeight="1">
      <c r="A1692" s="650"/>
      <c r="B1692" s="651"/>
      <c r="C1692" s="23">
        <v>1</v>
      </c>
      <c r="D1692" s="134"/>
      <c r="E1692" s="821" t="s">
        <v>314</v>
      </c>
      <c r="F1692" s="819"/>
      <c r="G1692" s="820"/>
      <c r="H1692" s="820"/>
      <c r="I1692" s="820"/>
      <c r="J1692" s="820"/>
      <c r="K1692" s="820">
        <v>100000</v>
      </c>
      <c r="L1692" s="711">
        <f t="shared" ref="L1692" si="249">SUM(F1692:K1692)</f>
        <v>100000</v>
      </c>
      <c r="M1692" s="711">
        <v>151335</v>
      </c>
      <c r="N1692" s="711">
        <v>15146.73</v>
      </c>
      <c r="O1692" s="923">
        <f>N1692/M1692</f>
        <v>0.10008742194469224</v>
      </c>
      <c r="P1692" s="770" t="s">
        <v>286</v>
      </c>
      <c r="Q1692" s="103"/>
      <c r="R1692" s="103"/>
      <c r="S1692" s="103"/>
      <c r="T1692" s="103"/>
      <c r="U1692" s="103"/>
      <c r="V1692" s="103"/>
      <c r="W1692" s="103"/>
      <c r="X1692" s="103"/>
      <c r="Y1692" s="103"/>
    </row>
    <row r="1693" spans="1:25" s="79" customFormat="1" ht="62.25" customHeight="1">
      <c r="A1693" s="650"/>
      <c r="B1693" s="651"/>
      <c r="C1693" s="817"/>
      <c r="D1693" s="818"/>
      <c r="E1693" s="1272" t="s">
        <v>367</v>
      </c>
      <c r="F1693" s="1272"/>
      <c r="G1693" s="1272"/>
      <c r="H1693" s="1272"/>
      <c r="I1693" s="1272"/>
      <c r="J1693" s="1272"/>
      <c r="K1693" s="1272"/>
      <c r="L1693" s="1272"/>
      <c r="M1693" s="1272"/>
      <c r="N1693" s="1272"/>
      <c r="O1693" s="1273"/>
      <c r="P1693" s="769"/>
      <c r="Q1693" s="143"/>
      <c r="R1693" s="143"/>
      <c r="S1693" s="143"/>
      <c r="T1693" s="143"/>
      <c r="U1693" s="143"/>
      <c r="V1693" s="143"/>
      <c r="W1693" s="143"/>
      <c r="X1693" s="143"/>
      <c r="Y1693" s="143"/>
    </row>
    <row r="1694" spans="1:25" s="446" customFormat="1" ht="84.6" customHeight="1">
      <c r="A1694" s="684"/>
      <c r="B1694" s="658"/>
      <c r="C1694" s="63"/>
      <c r="D1694" s="447"/>
      <c r="E1694" s="1268" t="s">
        <v>923</v>
      </c>
      <c r="F1694" s="1269"/>
      <c r="G1694" s="1269"/>
      <c r="H1694" s="1269"/>
      <c r="I1694" s="1269"/>
      <c r="J1694" s="1269"/>
      <c r="K1694" s="1269"/>
      <c r="L1694" s="1269"/>
      <c r="M1694" s="1269"/>
      <c r="N1694" s="1269"/>
      <c r="O1694" s="1271"/>
      <c r="P1694" s="777" t="s">
        <v>286</v>
      </c>
      <c r="Q1694" s="1188"/>
      <c r="R1694" s="777"/>
    </row>
    <row r="1695" spans="1:25" s="415" customFormat="1" ht="63.6" customHeight="1">
      <c r="A1695" s="650"/>
      <c r="B1695" s="651"/>
      <c r="C1695" s="815">
        <v>2</v>
      </c>
      <c r="D1695" s="816"/>
      <c r="E1695" s="597" t="s">
        <v>281</v>
      </c>
      <c r="F1695" s="588"/>
      <c r="G1695" s="596"/>
      <c r="H1695" s="596"/>
      <c r="I1695" s="596"/>
      <c r="J1695" s="596"/>
      <c r="K1695" s="596">
        <f>70000-18000</f>
        <v>52000</v>
      </c>
      <c r="L1695" s="589">
        <f t="shared" ref="L1695" si="250">SUM(F1695:K1695)</f>
        <v>52000</v>
      </c>
      <c r="M1695" s="589">
        <v>52000</v>
      </c>
      <c r="N1695" s="589">
        <v>43488</v>
      </c>
      <c r="O1695" s="927">
        <f>N1695/M1695</f>
        <v>0.83630769230769231</v>
      </c>
      <c r="P1695" s="770" t="s">
        <v>286</v>
      </c>
      <c r="Q1695" s="103"/>
      <c r="R1695" s="103"/>
      <c r="S1695" s="103"/>
      <c r="T1695" s="103"/>
      <c r="U1695" s="103"/>
      <c r="V1695" s="103"/>
      <c r="W1695" s="103"/>
      <c r="X1695" s="103"/>
      <c r="Y1695" s="103"/>
    </row>
    <row r="1696" spans="1:25" s="79" customFormat="1" ht="43.2" customHeight="1">
      <c r="A1696" s="650"/>
      <c r="B1696" s="651"/>
      <c r="C1696" s="817"/>
      <c r="D1696" s="818"/>
      <c r="E1696" s="1272" t="s">
        <v>355</v>
      </c>
      <c r="F1696" s="1272"/>
      <c r="G1696" s="1272"/>
      <c r="H1696" s="1272"/>
      <c r="I1696" s="1272"/>
      <c r="J1696" s="1272"/>
      <c r="K1696" s="1272"/>
      <c r="L1696" s="1274"/>
      <c r="M1696" s="769"/>
      <c r="N1696" s="769"/>
      <c r="O1696" s="936"/>
      <c r="P1696" s="769"/>
      <c r="Q1696" s="143"/>
      <c r="R1696" s="143"/>
      <c r="S1696" s="143"/>
      <c r="T1696" s="143"/>
      <c r="U1696" s="143"/>
      <c r="V1696" s="143"/>
      <c r="W1696" s="143"/>
      <c r="X1696" s="143"/>
      <c r="Y1696" s="143"/>
    </row>
    <row r="1697" spans="1:25" s="446" customFormat="1" ht="64.2" customHeight="1">
      <c r="A1697" s="684"/>
      <c r="B1697" s="658"/>
      <c r="C1697" s="63"/>
      <c r="D1697" s="447"/>
      <c r="E1697" s="1268" t="s">
        <v>924</v>
      </c>
      <c r="F1697" s="1269"/>
      <c r="G1697" s="1269"/>
      <c r="H1697" s="1269"/>
      <c r="I1697" s="1269"/>
      <c r="J1697" s="1269"/>
      <c r="K1697" s="1269"/>
      <c r="L1697" s="1269"/>
      <c r="M1697" s="1269"/>
      <c r="N1697" s="1269"/>
      <c r="O1697" s="1270"/>
      <c r="P1697" s="777" t="s">
        <v>286</v>
      </c>
      <c r="Q1697" s="1188"/>
      <c r="R1697" s="777"/>
    </row>
    <row r="1698" spans="1:25" s="415" customFormat="1" ht="72.75" customHeight="1">
      <c r="A1698" s="650"/>
      <c r="B1698" s="651"/>
      <c r="C1698" s="815">
        <v>3</v>
      </c>
      <c r="D1698" s="816"/>
      <c r="E1698" s="597" t="s">
        <v>280</v>
      </c>
      <c r="F1698" s="588"/>
      <c r="G1698" s="596"/>
      <c r="H1698" s="596"/>
      <c r="I1698" s="596"/>
      <c r="J1698" s="596"/>
      <c r="K1698" s="596">
        <v>20000</v>
      </c>
      <c r="L1698" s="589">
        <f t="shared" ref="L1698:L1708" si="251">SUM(F1698:K1698)</f>
        <v>20000</v>
      </c>
      <c r="M1698" s="589">
        <v>7764.19</v>
      </c>
      <c r="N1698" s="589">
        <v>900</v>
      </c>
      <c r="O1698" s="927">
        <f>N1698/M1698</f>
        <v>0.11591679235052209</v>
      </c>
      <c r="P1698" s="770"/>
      <c r="Q1698" s="103"/>
      <c r="R1698" s="103"/>
      <c r="S1698" s="103"/>
      <c r="T1698" s="103"/>
      <c r="U1698" s="103"/>
      <c r="V1698" s="103"/>
      <c r="W1698" s="103"/>
      <c r="X1698" s="103"/>
      <c r="Y1698" s="103"/>
    </row>
    <row r="1699" spans="1:25" s="79" customFormat="1" ht="43.2" customHeight="1">
      <c r="A1699" s="650"/>
      <c r="B1699" s="651"/>
      <c r="C1699" s="817"/>
      <c r="D1699" s="818"/>
      <c r="E1699" s="1272" t="s">
        <v>355</v>
      </c>
      <c r="F1699" s="1272"/>
      <c r="G1699" s="1272"/>
      <c r="H1699" s="1272"/>
      <c r="I1699" s="1272"/>
      <c r="J1699" s="1272"/>
      <c r="K1699" s="1272"/>
      <c r="L1699" s="1274"/>
      <c r="M1699" s="769"/>
      <c r="N1699" s="769"/>
      <c r="O1699" s="936"/>
      <c r="P1699" s="769"/>
      <c r="Q1699" s="143"/>
      <c r="R1699" s="143"/>
      <c r="S1699" s="143"/>
      <c r="T1699" s="143"/>
      <c r="U1699" s="143"/>
      <c r="V1699" s="143"/>
      <c r="W1699" s="143"/>
      <c r="X1699" s="143"/>
      <c r="Y1699" s="143"/>
    </row>
    <row r="1700" spans="1:25" s="446" customFormat="1" ht="76.5" customHeight="1">
      <c r="A1700" s="684"/>
      <c r="B1700" s="658"/>
      <c r="C1700" s="63"/>
      <c r="D1700" s="447"/>
      <c r="E1700" s="1268" t="s">
        <v>925</v>
      </c>
      <c r="F1700" s="1269"/>
      <c r="G1700" s="1269"/>
      <c r="H1700" s="1269"/>
      <c r="I1700" s="1269"/>
      <c r="J1700" s="1269"/>
      <c r="K1700" s="1269"/>
      <c r="L1700" s="1269"/>
      <c r="M1700" s="1269"/>
      <c r="N1700" s="1269"/>
      <c r="O1700" s="1270"/>
      <c r="P1700" s="777" t="s">
        <v>286</v>
      </c>
      <c r="Q1700" s="1188"/>
      <c r="R1700" s="777"/>
    </row>
    <row r="1701" spans="1:25" s="415" customFormat="1" ht="112.8" customHeight="1">
      <c r="A1701" s="650"/>
      <c r="B1701" s="651"/>
      <c r="C1701" s="815">
        <v>4</v>
      </c>
      <c r="D1701" s="816"/>
      <c r="E1701" s="597" t="s">
        <v>368</v>
      </c>
      <c r="F1701" s="588"/>
      <c r="G1701" s="596"/>
      <c r="H1701" s="596"/>
      <c r="I1701" s="596"/>
      <c r="J1701" s="596"/>
      <c r="K1701" s="596">
        <v>18000</v>
      </c>
      <c r="L1701" s="589">
        <f t="shared" si="251"/>
        <v>18000</v>
      </c>
      <c r="M1701" s="589">
        <v>18000</v>
      </c>
      <c r="N1701" s="589">
        <v>0</v>
      </c>
      <c r="O1701" s="927">
        <v>0</v>
      </c>
      <c r="P1701" s="770" t="s">
        <v>286</v>
      </c>
      <c r="Q1701" s="103"/>
      <c r="R1701" s="103"/>
      <c r="S1701" s="103"/>
      <c r="T1701" s="103"/>
      <c r="U1701" s="103"/>
      <c r="V1701" s="103"/>
      <c r="W1701" s="103"/>
      <c r="X1701" s="103"/>
      <c r="Y1701" s="103"/>
    </row>
    <row r="1702" spans="1:25" s="79" customFormat="1" ht="43.2" customHeight="1">
      <c r="A1702" s="650"/>
      <c r="B1702" s="651"/>
      <c r="C1702" s="817"/>
      <c r="D1702" s="818"/>
      <c r="E1702" s="1272" t="s">
        <v>355</v>
      </c>
      <c r="F1702" s="1272"/>
      <c r="G1702" s="1272"/>
      <c r="H1702" s="1272"/>
      <c r="I1702" s="1272"/>
      <c r="J1702" s="1272"/>
      <c r="K1702" s="1272"/>
      <c r="L1702" s="1274"/>
      <c r="M1702" s="769"/>
      <c r="N1702" s="769"/>
      <c r="O1702" s="936"/>
      <c r="P1702" s="769"/>
      <c r="Q1702" s="143"/>
      <c r="R1702" s="143"/>
      <c r="S1702" s="143"/>
      <c r="T1702" s="143"/>
      <c r="U1702" s="143"/>
      <c r="V1702" s="143"/>
      <c r="W1702" s="143"/>
      <c r="X1702" s="143"/>
      <c r="Y1702" s="143"/>
    </row>
    <row r="1703" spans="1:25" s="446" customFormat="1" ht="36.6" customHeight="1">
      <c r="A1703" s="684"/>
      <c r="B1703" s="658"/>
      <c r="C1703" s="63"/>
      <c r="D1703" s="447"/>
      <c r="E1703" s="1268" t="s">
        <v>832</v>
      </c>
      <c r="F1703" s="1269"/>
      <c r="G1703" s="1269"/>
      <c r="H1703" s="1269"/>
      <c r="I1703" s="1269"/>
      <c r="J1703" s="1269"/>
      <c r="K1703" s="1269"/>
      <c r="L1703" s="1269"/>
      <c r="M1703" s="1269"/>
      <c r="N1703" s="1269"/>
      <c r="O1703" s="1270"/>
      <c r="P1703" s="777" t="s">
        <v>286</v>
      </c>
      <c r="Q1703" s="1188"/>
      <c r="R1703" s="777"/>
    </row>
    <row r="1704" spans="1:25" s="79" customFormat="1" ht="72.75" customHeight="1">
      <c r="A1704" s="394"/>
      <c r="B1704" s="129"/>
      <c r="C1704" s="90">
        <v>5</v>
      </c>
      <c r="D1704" s="140"/>
      <c r="E1704" s="142" t="s">
        <v>171</v>
      </c>
      <c r="F1704" s="138"/>
      <c r="G1704" s="139"/>
      <c r="H1704" s="139"/>
      <c r="I1704" s="139"/>
      <c r="J1704" s="139"/>
      <c r="K1704" s="139">
        <v>5000</v>
      </c>
      <c r="L1704" s="137">
        <f t="shared" si="251"/>
        <v>5000</v>
      </c>
      <c r="M1704" s="137">
        <v>5000</v>
      </c>
      <c r="N1704" s="137">
        <v>481.33</v>
      </c>
      <c r="O1704" s="901">
        <f>N1704/M1704</f>
        <v>9.626599999999999E-2</v>
      </c>
      <c r="P1704" s="769" t="s">
        <v>286</v>
      </c>
      <c r="Q1704" s="143"/>
      <c r="R1704" s="143"/>
      <c r="S1704" s="143"/>
      <c r="T1704" s="143"/>
      <c r="U1704" s="143"/>
      <c r="V1704" s="143"/>
      <c r="W1704" s="143"/>
      <c r="X1704" s="143"/>
      <c r="Y1704" s="143"/>
    </row>
    <row r="1705" spans="1:25" s="79" customFormat="1" ht="54" customHeight="1">
      <c r="A1705" s="650"/>
      <c r="B1705" s="651"/>
      <c r="C1705" s="594">
        <v>6</v>
      </c>
      <c r="D1705" s="603"/>
      <c r="E1705" s="597" t="s">
        <v>315</v>
      </c>
      <c r="F1705" s="588"/>
      <c r="G1705" s="596"/>
      <c r="H1705" s="596"/>
      <c r="I1705" s="596"/>
      <c r="J1705" s="596"/>
      <c r="K1705" s="596">
        <v>10000</v>
      </c>
      <c r="L1705" s="589">
        <f t="shared" si="251"/>
        <v>10000</v>
      </c>
      <c r="M1705" s="589">
        <v>24000</v>
      </c>
      <c r="N1705" s="589">
        <v>6000</v>
      </c>
      <c r="O1705" s="927">
        <f>N1705/M1705</f>
        <v>0.25</v>
      </c>
      <c r="P1705" s="769" t="s">
        <v>286</v>
      </c>
      <c r="Q1705" s="143"/>
      <c r="R1705" s="143"/>
      <c r="S1705" s="143"/>
      <c r="T1705" s="143"/>
      <c r="U1705" s="143"/>
      <c r="V1705" s="143"/>
      <c r="W1705" s="143"/>
      <c r="X1705" s="143"/>
      <c r="Y1705" s="143"/>
    </row>
    <row r="1706" spans="1:25" s="446" customFormat="1" ht="58.5" customHeight="1">
      <c r="A1706" s="684"/>
      <c r="B1706" s="658"/>
      <c r="C1706" s="63"/>
      <c r="D1706" s="447"/>
      <c r="E1706" s="1268" t="s">
        <v>833</v>
      </c>
      <c r="F1706" s="1269"/>
      <c r="G1706" s="1269"/>
      <c r="H1706" s="1269"/>
      <c r="I1706" s="1269"/>
      <c r="J1706" s="1269"/>
      <c r="K1706" s="1269"/>
      <c r="L1706" s="1269"/>
      <c r="M1706" s="1269"/>
      <c r="N1706" s="1269"/>
      <c r="O1706" s="1270"/>
      <c r="P1706" s="777" t="s">
        <v>286</v>
      </c>
      <c r="Q1706" s="1188"/>
      <c r="R1706" s="777"/>
    </row>
    <row r="1707" spans="1:25" s="79" customFormat="1" ht="72.75" customHeight="1">
      <c r="A1707" s="650"/>
      <c r="B1707" s="651"/>
      <c r="C1707" s="594">
        <v>7</v>
      </c>
      <c r="D1707" s="603"/>
      <c r="E1707" s="597" t="s">
        <v>316</v>
      </c>
      <c r="F1707" s="588"/>
      <c r="G1707" s="596"/>
      <c r="H1707" s="596"/>
      <c r="I1707" s="596"/>
      <c r="J1707" s="596"/>
      <c r="K1707" s="596">
        <v>5000</v>
      </c>
      <c r="L1707" s="589">
        <f t="shared" si="251"/>
        <v>5000</v>
      </c>
      <c r="M1707" s="589">
        <v>0</v>
      </c>
      <c r="N1707" s="589">
        <v>0</v>
      </c>
      <c r="O1707" s="927">
        <v>0</v>
      </c>
      <c r="P1707" s="769" t="s">
        <v>286</v>
      </c>
      <c r="Q1707" s="143"/>
      <c r="R1707" s="143"/>
      <c r="S1707" s="143"/>
      <c r="T1707" s="143"/>
      <c r="U1707" s="143"/>
      <c r="V1707" s="143"/>
      <c r="W1707" s="143"/>
      <c r="X1707" s="143"/>
      <c r="Y1707" s="143"/>
    </row>
    <row r="1708" spans="1:25" s="79" customFormat="1" ht="56.4" customHeight="1">
      <c r="A1708" s="650"/>
      <c r="B1708" s="651"/>
      <c r="C1708" s="594">
        <v>8</v>
      </c>
      <c r="D1708" s="603"/>
      <c r="E1708" s="597" t="s">
        <v>317</v>
      </c>
      <c r="F1708" s="588"/>
      <c r="G1708" s="596"/>
      <c r="H1708" s="596"/>
      <c r="I1708" s="596"/>
      <c r="J1708" s="596"/>
      <c r="K1708" s="596">
        <v>2000</v>
      </c>
      <c r="L1708" s="589">
        <f t="shared" si="251"/>
        <v>2000</v>
      </c>
      <c r="M1708" s="589">
        <v>2000</v>
      </c>
      <c r="N1708" s="589">
        <v>0</v>
      </c>
      <c r="O1708" s="927">
        <v>0</v>
      </c>
      <c r="P1708" s="769" t="s">
        <v>286</v>
      </c>
      <c r="Q1708" s="143"/>
      <c r="R1708" s="143"/>
      <c r="S1708" s="143"/>
      <c r="T1708" s="143"/>
      <c r="U1708" s="143"/>
      <c r="V1708" s="143"/>
      <c r="W1708" s="143"/>
      <c r="X1708" s="143"/>
      <c r="Y1708" s="143"/>
    </row>
    <row r="1709" spans="1:25" s="446" customFormat="1" ht="49.8" customHeight="1">
      <c r="A1709" s="684"/>
      <c r="B1709" s="658"/>
      <c r="C1709" s="63"/>
      <c r="D1709" s="447"/>
      <c r="E1709" s="1268" t="s">
        <v>832</v>
      </c>
      <c r="F1709" s="1269"/>
      <c r="G1709" s="1269"/>
      <c r="H1709" s="1269"/>
      <c r="I1709" s="1269"/>
      <c r="J1709" s="1269"/>
      <c r="K1709" s="1269"/>
      <c r="L1709" s="1269"/>
      <c r="M1709" s="1269"/>
      <c r="N1709" s="1269"/>
      <c r="O1709" s="1270"/>
      <c r="P1709" s="777" t="s">
        <v>286</v>
      </c>
      <c r="Q1709" s="1188"/>
      <c r="R1709" s="777"/>
    </row>
    <row r="1710" spans="1:25" s="79" customFormat="1" ht="57.6" customHeight="1">
      <c r="A1710" s="650"/>
      <c r="B1710" s="651"/>
      <c r="C1710" s="594">
        <v>9</v>
      </c>
      <c r="D1710" s="603"/>
      <c r="E1710" s="597" t="s">
        <v>334</v>
      </c>
      <c r="F1710" s="588"/>
      <c r="G1710" s="596"/>
      <c r="H1710" s="596"/>
      <c r="I1710" s="596"/>
      <c r="J1710" s="596"/>
      <c r="K1710" s="596">
        <f>104653+2549</f>
        <v>107202</v>
      </c>
      <c r="L1710" s="589">
        <f t="shared" ref="L1710" si="252">SUM(F1710:K1710)</f>
        <v>107202</v>
      </c>
      <c r="M1710" s="589">
        <f>2549+552+80983+6556-552+14969+2145</f>
        <v>107202</v>
      </c>
      <c r="N1710" s="589">
        <f>28439.89+5478.37+5578.01+336.75+2326</f>
        <v>42159.020000000004</v>
      </c>
      <c r="O1710" s="927">
        <f>N1710/M1710</f>
        <v>0.39326710322568614</v>
      </c>
      <c r="P1710" s="769" t="s">
        <v>286</v>
      </c>
      <c r="Q1710" s="143"/>
      <c r="R1710" s="143"/>
      <c r="S1710" s="143"/>
      <c r="T1710" s="143"/>
      <c r="U1710" s="143"/>
      <c r="V1710" s="143"/>
      <c r="W1710" s="143"/>
      <c r="X1710" s="143"/>
      <c r="Y1710" s="143"/>
    </row>
    <row r="1711" spans="1:25" s="79" customFormat="1" ht="93.75" customHeight="1">
      <c r="A1711" s="650"/>
      <c r="B1711" s="651"/>
      <c r="C1711" s="793">
        <v>10</v>
      </c>
      <c r="D1711" s="1057"/>
      <c r="E1711" s="597" t="s">
        <v>834</v>
      </c>
      <c r="F1711" s="588"/>
      <c r="G1711" s="596"/>
      <c r="H1711" s="596"/>
      <c r="I1711" s="596"/>
      <c r="J1711" s="596"/>
      <c r="K1711" s="596">
        <v>2000</v>
      </c>
      <c r="L1711" s="589">
        <v>0</v>
      </c>
      <c r="M1711" s="589">
        <f>SUM(M1713:M1714)</f>
        <v>242513</v>
      </c>
      <c r="N1711" s="589">
        <f>SUM(N1713:N1714)</f>
        <v>0</v>
      </c>
      <c r="O1711" s="927">
        <v>0</v>
      </c>
      <c r="P1711" s="769" t="s">
        <v>286</v>
      </c>
      <c r="Q1711" s="143"/>
      <c r="R1711" s="143"/>
      <c r="S1711" s="143"/>
      <c r="T1711" s="143"/>
      <c r="U1711" s="143"/>
      <c r="V1711" s="143"/>
      <c r="W1711" s="143"/>
      <c r="X1711" s="143"/>
      <c r="Y1711" s="143"/>
    </row>
    <row r="1712" spans="1:25" s="415" customFormat="1">
      <c r="A1712" s="650"/>
      <c r="B1712" s="662"/>
      <c r="C1712" s="799"/>
      <c r="D1712" s="800"/>
      <c r="E1712" s="1237" t="s">
        <v>16</v>
      </c>
      <c r="F1712" s="731"/>
      <c r="G1712" s="731"/>
      <c r="H1712" s="731"/>
      <c r="I1712" s="731"/>
      <c r="J1712" s="731"/>
      <c r="K1712" s="731"/>
      <c r="L1712" s="656"/>
      <c r="M1712" s="656"/>
      <c r="N1712" s="656"/>
      <c r="O1712" s="873"/>
      <c r="P1712" s="762"/>
    </row>
    <row r="1713" spans="1:25" s="415" customFormat="1">
      <c r="A1713" s="650"/>
      <c r="B1713" s="662"/>
      <c r="C1713" s="799"/>
      <c r="D1713" s="800"/>
      <c r="E1713" s="1238" t="s">
        <v>349</v>
      </c>
      <c r="F1713" s="731"/>
      <c r="G1713" s="731"/>
      <c r="H1713" s="731">
        <v>6167</v>
      </c>
      <c r="I1713" s="731"/>
      <c r="J1713" s="731"/>
      <c r="K1713" s="731">
        <f>726+525+2596</f>
        <v>3847</v>
      </c>
      <c r="L1713" s="656">
        <v>0</v>
      </c>
      <c r="M1713" s="656">
        <f>5000</f>
        <v>5000</v>
      </c>
      <c r="N1713" s="656">
        <v>0</v>
      </c>
      <c r="O1713" s="873"/>
      <c r="P1713" s="762"/>
    </row>
    <row r="1714" spans="1:25" s="415" customFormat="1">
      <c r="A1714" s="650"/>
      <c r="B1714" s="662"/>
      <c r="C1714" s="1062"/>
      <c r="D1714" s="1063"/>
      <c r="E1714" s="1238" t="s">
        <v>350</v>
      </c>
      <c r="F1714" s="731"/>
      <c r="G1714" s="731"/>
      <c r="H1714" s="731">
        <v>1210030</v>
      </c>
      <c r="I1714" s="731"/>
      <c r="J1714" s="731"/>
      <c r="K1714" s="731">
        <f>142310+244850+343365</f>
        <v>730525</v>
      </c>
      <c r="L1714" s="656">
        <v>0</v>
      </c>
      <c r="M1714" s="656">
        <f>300000-62487</f>
        <v>237513</v>
      </c>
      <c r="N1714" s="656">
        <v>0</v>
      </c>
      <c r="O1714" s="873"/>
      <c r="P1714" s="762"/>
    </row>
    <row r="1715" spans="1:25" s="446" customFormat="1" ht="89.25" customHeight="1">
      <c r="A1715" s="684"/>
      <c r="B1715" s="658"/>
      <c r="C1715" s="63"/>
      <c r="D1715" s="447"/>
      <c r="E1715" s="1268" t="s">
        <v>835</v>
      </c>
      <c r="F1715" s="1269"/>
      <c r="G1715" s="1269"/>
      <c r="H1715" s="1269"/>
      <c r="I1715" s="1269"/>
      <c r="J1715" s="1269"/>
      <c r="K1715" s="1269"/>
      <c r="L1715" s="1269"/>
      <c r="M1715" s="1269"/>
      <c r="N1715" s="1269"/>
      <c r="O1715" s="1270"/>
      <c r="P1715" s="777" t="s">
        <v>286</v>
      </c>
      <c r="Q1715" s="1188"/>
      <c r="R1715" s="777"/>
    </row>
    <row r="1716" spans="1:25" s="79" customFormat="1" ht="54" customHeight="1">
      <c r="A1716" s="650"/>
      <c r="B1716" s="651"/>
      <c r="C1716" s="594">
        <v>11</v>
      </c>
      <c r="D1716" s="603"/>
      <c r="E1716" s="597" t="s">
        <v>836</v>
      </c>
      <c r="F1716" s="588"/>
      <c r="G1716" s="596"/>
      <c r="H1716" s="596"/>
      <c r="I1716" s="596"/>
      <c r="J1716" s="596"/>
      <c r="K1716" s="596">
        <v>2000</v>
      </c>
      <c r="L1716" s="589">
        <v>0</v>
      </c>
      <c r="M1716" s="589">
        <v>20000</v>
      </c>
      <c r="N1716" s="589">
        <v>0</v>
      </c>
      <c r="O1716" s="927">
        <v>0</v>
      </c>
      <c r="P1716" s="769" t="s">
        <v>286</v>
      </c>
      <c r="Q1716" s="143"/>
      <c r="R1716" s="143"/>
      <c r="S1716" s="143"/>
      <c r="T1716" s="143"/>
      <c r="U1716" s="143"/>
      <c r="V1716" s="143"/>
      <c r="W1716" s="143"/>
      <c r="X1716" s="143"/>
      <c r="Y1716" s="143"/>
    </row>
    <row r="1717" spans="1:25" s="446" customFormat="1" ht="54" customHeight="1">
      <c r="A1717" s="684"/>
      <c r="B1717" s="658"/>
      <c r="C1717" s="63"/>
      <c r="D1717" s="447"/>
      <c r="E1717" s="1268" t="s">
        <v>826</v>
      </c>
      <c r="F1717" s="1269"/>
      <c r="G1717" s="1269"/>
      <c r="H1717" s="1269"/>
      <c r="I1717" s="1269"/>
      <c r="J1717" s="1269"/>
      <c r="K1717" s="1269"/>
      <c r="L1717" s="1269"/>
      <c r="M1717" s="1269"/>
      <c r="N1717" s="1269"/>
      <c r="O1717" s="1270"/>
      <c r="P1717" s="777" t="s">
        <v>286</v>
      </c>
      <c r="Q1717" s="1188"/>
      <c r="R1717" s="777"/>
    </row>
    <row r="1718" spans="1:25" s="159" customFormat="1" ht="60" customHeight="1">
      <c r="A1718" s="798"/>
      <c r="B1718" s="152">
        <v>90015</v>
      </c>
      <c r="C1718" s="151"/>
      <c r="D1718" s="150"/>
      <c r="E1718" s="149" t="s">
        <v>18</v>
      </c>
      <c r="F1718" s="148">
        <f t="shared" ref="F1718:J1718" si="253">SUM(F1719:F1725)</f>
        <v>0</v>
      </c>
      <c r="G1718" s="148">
        <f t="shared" si="253"/>
        <v>0</v>
      </c>
      <c r="H1718" s="148">
        <f t="shared" si="253"/>
        <v>0</v>
      </c>
      <c r="I1718" s="148">
        <f t="shared" si="253"/>
        <v>0</v>
      </c>
      <c r="J1718" s="148">
        <f t="shared" si="253"/>
        <v>0</v>
      </c>
      <c r="K1718" s="148">
        <f>SUM(K1719:K1727)</f>
        <v>731423.74</v>
      </c>
      <c r="L1718" s="147">
        <f t="shared" ref="L1718:L1727" si="254">SUM(F1718:K1718)</f>
        <v>731423.74</v>
      </c>
      <c r="M1718" s="147">
        <f>M1719+M1721+M1723+M1725+M1727</f>
        <v>799908.74</v>
      </c>
      <c r="N1718" s="147">
        <f>N1719+N1721+N1723+N1725+N1727</f>
        <v>420963.82</v>
      </c>
      <c r="O1718" s="906">
        <f>N1718/M1718</f>
        <v>0.5262648086580477</v>
      </c>
      <c r="P1718" s="773"/>
      <c r="Q1718" s="160"/>
      <c r="R1718" s="160"/>
      <c r="S1718" s="160"/>
      <c r="T1718" s="160"/>
      <c r="U1718" s="160"/>
      <c r="V1718" s="160"/>
      <c r="W1718" s="160"/>
      <c r="X1718" s="160"/>
      <c r="Y1718" s="160"/>
    </row>
    <row r="1719" spans="1:25" s="79" customFormat="1" ht="89.25" customHeight="1">
      <c r="A1719" s="650"/>
      <c r="B1719" s="158"/>
      <c r="C1719" s="245">
        <v>1</v>
      </c>
      <c r="D1719" s="156"/>
      <c r="E1719" s="1219" t="s">
        <v>256</v>
      </c>
      <c r="F1719" s="155"/>
      <c r="G1719" s="154"/>
      <c r="H1719" s="154"/>
      <c r="I1719" s="154"/>
      <c r="J1719" s="154"/>
      <c r="K1719" s="154">
        <v>600000</v>
      </c>
      <c r="L1719" s="153">
        <f t="shared" si="254"/>
        <v>600000</v>
      </c>
      <c r="M1719" s="153">
        <v>616485</v>
      </c>
      <c r="N1719" s="153">
        <v>361998.52</v>
      </c>
      <c r="O1719" s="935">
        <f>N1719/M1719</f>
        <v>0.58719761226956058</v>
      </c>
      <c r="P1719" s="769" t="s">
        <v>286</v>
      </c>
      <c r="Q1719" s="143"/>
      <c r="R1719" s="143"/>
      <c r="S1719" s="143"/>
      <c r="T1719" s="143"/>
      <c r="U1719" s="143"/>
      <c r="V1719" s="143"/>
      <c r="W1719" s="143"/>
      <c r="X1719" s="143"/>
      <c r="Y1719" s="143"/>
    </row>
    <row r="1720" spans="1:25" s="446" customFormat="1" ht="89.25" customHeight="1">
      <c r="A1720" s="684"/>
      <c r="B1720" s="658"/>
      <c r="C1720" s="63"/>
      <c r="D1720" s="447"/>
      <c r="E1720" s="1268" t="s">
        <v>926</v>
      </c>
      <c r="F1720" s="1269"/>
      <c r="G1720" s="1269"/>
      <c r="H1720" s="1269"/>
      <c r="I1720" s="1269"/>
      <c r="J1720" s="1269"/>
      <c r="K1720" s="1269"/>
      <c r="L1720" s="1269"/>
      <c r="M1720" s="1269"/>
      <c r="N1720" s="1269"/>
      <c r="O1720" s="1270"/>
      <c r="P1720" s="777"/>
      <c r="Q1720" s="1188"/>
      <c r="R1720" s="777"/>
    </row>
    <row r="1721" spans="1:25" s="79" customFormat="1" ht="113.25" customHeight="1">
      <c r="A1721" s="650"/>
      <c r="B1721" s="651"/>
      <c r="C1721" s="793">
        <v>2</v>
      </c>
      <c r="D1721" s="1057"/>
      <c r="E1721" s="597" t="s">
        <v>318</v>
      </c>
      <c r="F1721" s="588"/>
      <c r="G1721" s="596"/>
      <c r="H1721" s="596"/>
      <c r="I1721" s="596"/>
      <c r="J1721" s="596"/>
      <c r="K1721" s="596">
        <v>32987.24</v>
      </c>
      <c r="L1721" s="589">
        <f t="shared" si="254"/>
        <v>32987.24</v>
      </c>
      <c r="M1721" s="589">
        <v>32987.24</v>
      </c>
      <c r="N1721" s="589">
        <v>0</v>
      </c>
      <c r="O1721" s="927">
        <v>0</v>
      </c>
      <c r="P1721" s="769" t="s">
        <v>286</v>
      </c>
      <c r="Q1721" s="143"/>
      <c r="R1721" s="143"/>
      <c r="S1721" s="143"/>
      <c r="T1721" s="143"/>
      <c r="U1721" s="143"/>
      <c r="V1721" s="143"/>
      <c r="W1721" s="143"/>
      <c r="X1721" s="143"/>
      <c r="Y1721" s="143"/>
    </row>
    <row r="1722" spans="1:25" s="446" customFormat="1" ht="51.75" customHeight="1">
      <c r="A1722" s="684"/>
      <c r="B1722" s="658"/>
      <c r="C1722" s="63"/>
      <c r="D1722" s="447"/>
      <c r="E1722" s="1268" t="s">
        <v>826</v>
      </c>
      <c r="F1722" s="1269"/>
      <c r="G1722" s="1269"/>
      <c r="H1722" s="1269"/>
      <c r="I1722" s="1269"/>
      <c r="J1722" s="1269"/>
      <c r="K1722" s="1269"/>
      <c r="L1722" s="1269"/>
      <c r="M1722" s="1269"/>
      <c r="N1722" s="1269"/>
      <c r="O1722" s="1270"/>
      <c r="P1722" s="777"/>
      <c r="Q1722" s="1188"/>
      <c r="R1722" s="777"/>
    </row>
    <row r="1723" spans="1:25" s="79" customFormat="1" ht="133.5" customHeight="1">
      <c r="A1723" s="650"/>
      <c r="B1723" s="651"/>
      <c r="C1723" s="793">
        <v>3</v>
      </c>
      <c r="D1723" s="1057"/>
      <c r="E1723" s="597" t="s">
        <v>397</v>
      </c>
      <c r="F1723" s="588"/>
      <c r="G1723" s="596"/>
      <c r="H1723" s="596"/>
      <c r="I1723" s="596"/>
      <c r="J1723" s="596"/>
      <c r="K1723" s="596">
        <v>21436.5</v>
      </c>
      <c r="L1723" s="589">
        <f t="shared" si="254"/>
        <v>21436.5</v>
      </c>
      <c r="M1723" s="589">
        <v>21436.5</v>
      </c>
      <c r="N1723" s="589">
        <v>19930.919999999998</v>
      </c>
      <c r="O1723" s="927">
        <f>N1723/M1723</f>
        <v>0.92976558673290877</v>
      </c>
      <c r="P1723" s="769" t="s">
        <v>286</v>
      </c>
      <c r="Q1723" s="143"/>
      <c r="R1723" s="143"/>
      <c r="S1723" s="143"/>
      <c r="T1723" s="143"/>
      <c r="U1723" s="143"/>
      <c r="V1723" s="143"/>
      <c r="W1723" s="143"/>
      <c r="X1723" s="143"/>
      <c r="Y1723" s="143"/>
    </row>
    <row r="1724" spans="1:25" s="446" customFormat="1" ht="67.8" customHeight="1">
      <c r="A1724" s="684"/>
      <c r="B1724" s="658"/>
      <c r="C1724" s="63"/>
      <c r="D1724" s="447"/>
      <c r="E1724" s="1268" t="s">
        <v>837</v>
      </c>
      <c r="F1724" s="1269"/>
      <c r="G1724" s="1269"/>
      <c r="H1724" s="1269"/>
      <c r="I1724" s="1269"/>
      <c r="J1724" s="1269"/>
      <c r="K1724" s="1269"/>
      <c r="L1724" s="1269"/>
      <c r="M1724" s="1269"/>
      <c r="N1724" s="1269"/>
      <c r="O1724" s="1270"/>
      <c r="P1724" s="777"/>
      <c r="Q1724" s="1188"/>
      <c r="R1724" s="777"/>
    </row>
    <row r="1725" spans="1:25" s="79" customFormat="1" ht="114" customHeight="1">
      <c r="A1725" s="650"/>
      <c r="B1725" s="651"/>
      <c r="C1725" s="848">
        <v>4</v>
      </c>
      <c r="D1725" s="833"/>
      <c r="E1725" s="135" t="s">
        <v>365</v>
      </c>
      <c r="F1725" s="819"/>
      <c r="G1725" s="819"/>
      <c r="H1725" s="819"/>
      <c r="I1725" s="819"/>
      <c r="J1725" s="819"/>
      <c r="K1725" s="819">
        <v>45000</v>
      </c>
      <c r="L1725" s="711">
        <f t="shared" si="254"/>
        <v>45000</v>
      </c>
      <c r="M1725" s="711">
        <v>45000</v>
      </c>
      <c r="N1725" s="711">
        <v>39034.379999999997</v>
      </c>
      <c r="O1725" s="923">
        <f>N1725/M1725</f>
        <v>0.86743066666666657</v>
      </c>
      <c r="P1725" s="769" t="s">
        <v>286</v>
      </c>
      <c r="Q1725" s="143"/>
      <c r="R1725" s="143"/>
      <c r="S1725" s="143"/>
      <c r="T1725" s="143"/>
      <c r="U1725" s="143"/>
      <c r="V1725" s="143"/>
      <c r="W1725" s="143"/>
      <c r="X1725" s="143"/>
      <c r="Y1725" s="143"/>
    </row>
    <row r="1726" spans="1:25" s="446" customFormat="1" ht="76.2" customHeight="1">
      <c r="A1726" s="684"/>
      <c r="B1726" s="658"/>
      <c r="C1726" s="63"/>
      <c r="D1726" s="447"/>
      <c r="E1726" s="1268" t="s">
        <v>838</v>
      </c>
      <c r="F1726" s="1269"/>
      <c r="G1726" s="1269"/>
      <c r="H1726" s="1269"/>
      <c r="I1726" s="1269"/>
      <c r="J1726" s="1269"/>
      <c r="K1726" s="1269"/>
      <c r="L1726" s="1269"/>
      <c r="M1726" s="1269"/>
      <c r="N1726" s="1269"/>
      <c r="O1726" s="1270"/>
      <c r="P1726" s="777"/>
      <c r="Q1726" s="1188"/>
      <c r="R1726" s="777"/>
    </row>
    <row r="1727" spans="1:25" s="79" customFormat="1" ht="49.2" customHeight="1">
      <c r="A1727" s="650"/>
      <c r="B1727" s="651"/>
      <c r="C1727" s="793">
        <v>5</v>
      </c>
      <c r="D1727" s="1057"/>
      <c r="E1727" s="597" t="s">
        <v>412</v>
      </c>
      <c r="F1727" s="588"/>
      <c r="G1727" s="588"/>
      <c r="H1727" s="588"/>
      <c r="I1727" s="588"/>
      <c r="J1727" s="588"/>
      <c r="K1727" s="588">
        <v>32000</v>
      </c>
      <c r="L1727" s="589">
        <f t="shared" si="254"/>
        <v>32000</v>
      </c>
      <c r="M1727" s="589">
        <v>84000</v>
      </c>
      <c r="N1727" s="589">
        <v>0</v>
      </c>
      <c r="O1727" s="927">
        <v>0</v>
      </c>
      <c r="P1727" s="769" t="s">
        <v>286</v>
      </c>
      <c r="Q1727" s="143"/>
      <c r="R1727" s="143"/>
      <c r="S1727" s="143"/>
      <c r="T1727" s="143"/>
      <c r="U1727" s="143"/>
      <c r="V1727" s="143"/>
      <c r="W1727" s="143"/>
      <c r="X1727" s="143"/>
      <c r="Y1727" s="143"/>
    </row>
    <row r="1728" spans="1:25" s="446" customFormat="1" ht="40.799999999999997" customHeight="1">
      <c r="A1728" s="684"/>
      <c r="B1728" s="658"/>
      <c r="C1728" s="63"/>
      <c r="D1728" s="447"/>
      <c r="E1728" s="1268" t="s">
        <v>826</v>
      </c>
      <c r="F1728" s="1269"/>
      <c r="G1728" s="1269"/>
      <c r="H1728" s="1269"/>
      <c r="I1728" s="1269"/>
      <c r="J1728" s="1269"/>
      <c r="K1728" s="1269"/>
      <c r="L1728" s="1269"/>
      <c r="M1728" s="1269"/>
      <c r="N1728" s="1269"/>
      <c r="O1728" s="1270"/>
      <c r="P1728" s="777"/>
      <c r="Q1728" s="1188"/>
      <c r="R1728" s="777"/>
    </row>
    <row r="1729" spans="1:25" s="145" customFormat="1" ht="57" customHeight="1">
      <c r="A1729" s="637"/>
      <c r="B1729" s="152">
        <v>90026</v>
      </c>
      <c r="C1729" s="151"/>
      <c r="D1729" s="150"/>
      <c r="E1729" s="149" t="s">
        <v>265</v>
      </c>
      <c r="F1729" s="148">
        <f>SUM(F1732:F1757)</f>
        <v>0</v>
      </c>
      <c r="G1729" s="148">
        <f>SUM(G1732:G1757)</f>
        <v>0</v>
      </c>
      <c r="H1729" s="148">
        <f>SUM(H1732:H1757)</f>
        <v>0</v>
      </c>
      <c r="I1729" s="148">
        <f>SUM(I1732:I1757)</f>
        <v>0</v>
      </c>
      <c r="J1729" s="148">
        <f>SUM(J1732:J1757)</f>
        <v>0</v>
      </c>
      <c r="K1729" s="148">
        <f>SUM(K1730:K1731)</f>
        <v>50000</v>
      </c>
      <c r="L1729" s="147">
        <f>SUM(L1730:L1731)</f>
        <v>50000</v>
      </c>
      <c r="M1729" s="147">
        <f>M1730</f>
        <v>50000</v>
      </c>
      <c r="N1729" s="147">
        <f>N1730</f>
        <v>41999.92</v>
      </c>
      <c r="O1729" s="906">
        <f>SUM(O1730:O1731)</f>
        <v>0.83999839999999992</v>
      </c>
      <c r="P1729" s="773" t="s">
        <v>286</v>
      </c>
      <c r="Q1729" s="146"/>
      <c r="R1729" s="146"/>
      <c r="S1729" s="146"/>
      <c r="T1729" s="146"/>
      <c r="U1729" s="146"/>
      <c r="V1729" s="146"/>
      <c r="W1729" s="146"/>
      <c r="X1729" s="146"/>
      <c r="Y1729" s="146"/>
    </row>
    <row r="1730" spans="1:25" s="415" customFormat="1" ht="100.2" customHeight="1">
      <c r="A1730" s="693"/>
      <c r="B1730" s="694"/>
      <c r="C1730" s="575">
        <v>1</v>
      </c>
      <c r="D1730" s="576"/>
      <c r="E1730" s="577" t="s">
        <v>282</v>
      </c>
      <c r="F1730" s="578"/>
      <c r="G1730" s="579"/>
      <c r="H1730" s="563"/>
      <c r="I1730" s="563"/>
      <c r="J1730" s="563"/>
      <c r="K1730" s="563">
        <v>50000</v>
      </c>
      <c r="L1730" s="563">
        <f>SUM(F1730:K1730)</f>
        <v>50000</v>
      </c>
      <c r="M1730" s="563">
        <v>50000</v>
      </c>
      <c r="N1730" s="563">
        <v>41999.92</v>
      </c>
      <c r="O1730" s="872">
        <f>N1730/M1730</f>
        <v>0.83999839999999992</v>
      </c>
      <c r="P1730" s="762" t="s">
        <v>286</v>
      </c>
    </row>
    <row r="1731" spans="1:25" s="415" customFormat="1" ht="61.8" customHeight="1">
      <c r="A1731" s="693"/>
      <c r="B1731" s="694"/>
      <c r="C1731" s="750"/>
      <c r="D1731" s="447"/>
      <c r="E1731" s="1299" t="s">
        <v>927</v>
      </c>
      <c r="F1731" s="1299"/>
      <c r="G1731" s="1299"/>
      <c r="H1731" s="1299"/>
      <c r="I1731" s="1299"/>
      <c r="J1731" s="1299"/>
      <c r="K1731" s="1299"/>
      <c r="L1731" s="1299"/>
      <c r="M1731" s="1299"/>
      <c r="N1731" s="1299"/>
      <c r="O1731" s="1300"/>
      <c r="P1731" s="762"/>
    </row>
    <row r="1732" spans="1:25" s="145" customFormat="1" ht="57" customHeight="1">
      <c r="A1732" s="637"/>
      <c r="B1732" s="152">
        <v>90095</v>
      </c>
      <c r="C1732" s="151"/>
      <c r="D1732" s="150"/>
      <c r="E1732" s="149" t="s">
        <v>8</v>
      </c>
      <c r="F1732" s="148">
        <f t="shared" ref="F1732:J1732" si="255">SUM(F1733:F1763)</f>
        <v>0</v>
      </c>
      <c r="G1732" s="148">
        <f t="shared" si="255"/>
        <v>0</v>
      </c>
      <c r="H1732" s="148">
        <f t="shared" si="255"/>
        <v>0</v>
      </c>
      <c r="I1732" s="148">
        <f t="shared" si="255"/>
        <v>0</v>
      </c>
      <c r="J1732" s="148">
        <f t="shared" si="255"/>
        <v>0</v>
      </c>
      <c r="K1732" s="148">
        <f>SUM(K1733:K1765)</f>
        <v>361796.05</v>
      </c>
      <c r="L1732" s="147">
        <f>SUM(F1732:K1732)</f>
        <v>361796.05</v>
      </c>
      <c r="M1732" s="147">
        <f>M1733+M1735+M1737+M1739+M1741+M1743+M1745+M1747+M1749+M1751+M1753+M1755+M1757+M1759+M1761+M1763+M1765+M1767</f>
        <v>358533.05</v>
      </c>
      <c r="N1732" s="147">
        <f>N1733+N1735+N1737+N1739+N1741+N1743+N1745+N1747+N1749+N1751+N1753+N1755+N1757+N1759+N1761+N1763+N1765+N1767</f>
        <v>53147.729999999996</v>
      </c>
      <c r="O1732" s="906">
        <f>N1732/M1732</f>
        <v>0.14823662699993764</v>
      </c>
      <c r="P1732" s="773" t="s">
        <v>286</v>
      </c>
      <c r="Q1732" s="146"/>
      <c r="R1732" s="146"/>
      <c r="S1732" s="146"/>
      <c r="T1732" s="146"/>
      <c r="U1732" s="146"/>
      <c r="V1732" s="146"/>
      <c r="W1732" s="146"/>
      <c r="X1732" s="146"/>
      <c r="Y1732" s="146"/>
    </row>
    <row r="1733" spans="1:25" s="79" customFormat="1" ht="72.599999999999994" customHeight="1">
      <c r="A1733" s="650"/>
      <c r="B1733" s="651"/>
      <c r="C1733" s="594">
        <v>1</v>
      </c>
      <c r="D1733" s="603"/>
      <c r="E1733" s="597" t="s">
        <v>172</v>
      </c>
      <c r="F1733" s="588"/>
      <c r="G1733" s="596"/>
      <c r="H1733" s="596"/>
      <c r="I1733" s="596"/>
      <c r="J1733" s="596"/>
      <c r="K1733" s="596">
        <v>50000</v>
      </c>
      <c r="L1733" s="589">
        <f t="shared" ref="L1733:L1745" si="256">SUM(F1733:K1733)</f>
        <v>50000</v>
      </c>
      <c r="M1733" s="589">
        <v>44300</v>
      </c>
      <c r="N1733" s="589">
        <v>6000</v>
      </c>
      <c r="O1733" s="927">
        <f>N1733/M1733</f>
        <v>0.13544018058690746</v>
      </c>
      <c r="P1733" s="769" t="s">
        <v>286</v>
      </c>
      <c r="Q1733" s="143"/>
      <c r="R1733" s="143"/>
      <c r="S1733" s="143"/>
      <c r="T1733" s="143"/>
      <c r="U1733" s="143"/>
      <c r="V1733" s="143"/>
      <c r="W1733" s="143"/>
      <c r="X1733" s="143"/>
      <c r="Y1733" s="143"/>
    </row>
    <row r="1734" spans="1:25" s="446" customFormat="1" ht="66" customHeight="1">
      <c r="A1734" s="684"/>
      <c r="B1734" s="658"/>
      <c r="C1734" s="63"/>
      <c r="D1734" s="447"/>
      <c r="E1734" s="1268" t="s">
        <v>839</v>
      </c>
      <c r="F1734" s="1269"/>
      <c r="G1734" s="1269"/>
      <c r="H1734" s="1269"/>
      <c r="I1734" s="1269"/>
      <c r="J1734" s="1269"/>
      <c r="K1734" s="1269"/>
      <c r="L1734" s="1269"/>
      <c r="M1734" s="1269"/>
      <c r="N1734" s="1269"/>
      <c r="O1734" s="1270"/>
      <c r="P1734" s="777" t="s">
        <v>286</v>
      </c>
      <c r="Q1734" s="1188"/>
      <c r="R1734" s="777"/>
    </row>
    <row r="1735" spans="1:25" s="97" customFormat="1" ht="78.75" customHeight="1">
      <c r="A1735" s="650"/>
      <c r="B1735" s="651"/>
      <c r="C1735" s="594">
        <v>2</v>
      </c>
      <c r="D1735" s="603"/>
      <c r="E1735" s="597" t="s">
        <v>163</v>
      </c>
      <c r="F1735" s="588"/>
      <c r="G1735" s="596"/>
      <c r="H1735" s="596"/>
      <c r="I1735" s="596"/>
      <c r="J1735" s="596"/>
      <c r="K1735" s="596">
        <f>22000-2000</f>
        <v>20000</v>
      </c>
      <c r="L1735" s="589">
        <f t="shared" si="256"/>
        <v>20000</v>
      </c>
      <c r="M1735" s="589">
        <v>17487</v>
      </c>
      <c r="N1735" s="589">
        <v>3600.1</v>
      </c>
      <c r="O1735" s="927">
        <f>N1735/M1735</f>
        <v>0.20587293417967634</v>
      </c>
      <c r="P1735" s="770" t="s">
        <v>286</v>
      </c>
      <c r="Q1735" s="103"/>
      <c r="R1735" s="103"/>
      <c r="S1735" s="103"/>
      <c r="T1735" s="103"/>
      <c r="U1735" s="103"/>
      <c r="V1735" s="103"/>
      <c r="W1735" s="103"/>
      <c r="X1735" s="103"/>
      <c r="Y1735" s="103"/>
    </row>
    <row r="1736" spans="1:25" s="446" customFormat="1" ht="66" customHeight="1">
      <c r="A1736" s="684"/>
      <c r="B1736" s="658"/>
      <c r="C1736" s="63"/>
      <c r="D1736" s="447"/>
      <c r="E1736" s="1268" t="s">
        <v>928</v>
      </c>
      <c r="F1736" s="1269"/>
      <c r="G1736" s="1269"/>
      <c r="H1736" s="1269"/>
      <c r="I1736" s="1269"/>
      <c r="J1736" s="1269"/>
      <c r="K1736" s="1269"/>
      <c r="L1736" s="1269"/>
      <c r="M1736" s="1269"/>
      <c r="N1736" s="1269"/>
      <c r="O1736" s="1270"/>
      <c r="P1736" s="777" t="s">
        <v>286</v>
      </c>
      <c r="Q1736" s="1188"/>
      <c r="R1736" s="777"/>
    </row>
    <row r="1737" spans="1:25" s="97" customFormat="1" ht="100.95" customHeight="1">
      <c r="A1737" s="650"/>
      <c r="B1737" s="651"/>
      <c r="C1737" s="594">
        <v>3</v>
      </c>
      <c r="D1737" s="603"/>
      <c r="E1737" s="597" t="s">
        <v>150</v>
      </c>
      <c r="F1737" s="588"/>
      <c r="G1737" s="596"/>
      <c r="H1737" s="596"/>
      <c r="I1737" s="596"/>
      <c r="J1737" s="596"/>
      <c r="K1737" s="596">
        <v>60000</v>
      </c>
      <c r="L1737" s="589">
        <f t="shared" si="256"/>
        <v>60000</v>
      </c>
      <c r="M1737" s="589">
        <v>60000</v>
      </c>
      <c r="N1737" s="589">
        <v>14368.41</v>
      </c>
      <c r="O1737" s="927">
        <f>N1737/M1737</f>
        <v>0.23947350000000001</v>
      </c>
      <c r="P1737" s="770" t="s">
        <v>286</v>
      </c>
      <c r="Q1737" s="103"/>
      <c r="R1737" s="103"/>
      <c r="S1737" s="103"/>
      <c r="T1737" s="103"/>
      <c r="U1737" s="103"/>
      <c r="V1737" s="103"/>
      <c r="W1737" s="103"/>
      <c r="X1737" s="103"/>
      <c r="Y1737" s="103"/>
    </row>
    <row r="1738" spans="1:25" s="446" customFormat="1" ht="107.25" customHeight="1">
      <c r="A1738" s="684"/>
      <c r="B1738" s="658"/>
      <c r="C1738" s="63"/>
      <c r="D1738" s="447"/>
      <c r="E1738" s="1268" t="s">
        <v>840</v>
      </c>
      <c r="F1738" s="1269"/>
      <c r="G1738" s="1269"/>
      <c r="H1738" s="1269"/>
      <c r="I1738" s="1269"/>
      <c r="J1738" s="1269"/>
      <c r="K1738" s="1269"/>
      <c r="L1738" s="1269"/>
      <c r="M1738" s="1269"/>
      <c r="N1738" s="1269"/>
      <c r="O1738" s="1270"/>
      <c r="P1738" s="777" t="s">
        <v>286</v>
      </c>
      <c r="Q1738" s="1188"/>
      <c r="R1738" s="777"/>
    </row>
    <row r="1739" spans="1:25" s="415" customFormat="1" ht="73.5" customHeight="1">
      <c r="A1739" s="650"/>
      <c r="B1739" s="651"/>
      <c r="C1739" s="594">
        <v>4</v>
      </c>
      <c r="D1739" s="603"/>
      <c r="E1739" s="597" t="s">
        <v>202</v>
      </c>
      <c r="F1739" s="588"/>
      <c r="G1739" s="596"/>
      <c r="H1739" s="596"/>
      <c r="I1739" s="596"/>
      <c r="J1739" s="596"/>
      <c r="K1739" s="596">
        <v>15000</v>
      </c>
      <c r="L1739" s="589">
        <f t="shared" si="256"/>
        <v>15000</v>
      </c>
      <c r="M1739" s="589">
        <v>15000</v>
      </c>
      <c r="N1739" s="589">
        <v>4258</v>
      </c>
      <c r="O1739" s="927">
        <f>N1739/M1739</f>
        <v>0.28386666666666666</v>
      </c>
      <c r="P1739" s="770" t="s">
        <v>286</v>
      </c>
      <c r="Q1739" s="103"/>
      <c r="R1739" s="103"/>
      <c r="S1739" s="103"/>
      <c r="T1739" s="103"/>
      <c r="U1739" s="103"/>
      <c r="V1739" s="103"/>
      <c r="W1739" s="103"/>
      <c r="X1739" s="103"/>
      <c r="Y1739" s="103"/>
    </row>
    <row r="1740" spans="1:25" s="446" customFormat="1" ht="66" customHeight="1">
      <c r="A1740" s="684"/>
      <c r="B1740" s="658"/>
      <c r="C1740" s="63"/>
      <c r="D1740" s="447"/>
      <c r="E1740" s="1268" t="s">
        <v>841</v>
      </c>
      <c r="F1740" s="1269"/>
      <c r="G1740" s="1269"/>
      <c r="H1740" s="1269"/>
      <c r="I1740" s="1269"/>
      <c r="J1740" s="1269"/>
      <c r="K1740" s="1269"/>
      <c r="L1740" s="1269"/>
      <c r="M1740" s="1269"/>
      <c r="N1740" s="1269"/>
      <c r="O1740" s="1270"/>
      <c r="P1740" s="777" t="s">
        <v>286</v>
      </c>
      <c r="Q1740" s="1188"/>
      <c r="R1740" s="777"/>
    </row>
    <row r="1741" spans="1:25" s="97" customFormat="1" ht="73.5" customHeight="1">
      <c r="A1741" s="650"/>
      <c r="B1741" s="651"/>
      <c r="C1741" s="594">
        <v>5</v>
      </c>
      <c r="D1741" s="603"/>
      <c r="E1741" s="597" t="s">
        <v>17</v>
      </c>
      <c r="F1741" s="588"/>
      <c r="G1741" s="596"/>
      <c r="H1741" s="596"/>
      <c r="I1741" s="596"/>
      <c r="J1741" s="596"/>
      <c r="K1741" s="596">
        <v>3000</v>
      </c>
      <c r="L1741" s="589">
        <f t="shared" si="256"/>
        <v>3000</v>
      </c>
      <c r="M1741" s="589">
        <v>3000</v>
      </c>
      <c r="N1741" s="589">
        <v>1183.51</v>
      </c>
      <c r="O1741" s="927">
        <f>N1741/M1741</f>
        <v>0.39450333333333332</v>
      </c>
      <c r="P1741" s="770" t="s">
        <v>286</v>
      </c>
      <c r="Q1741" s="103"/>
      <c r="R1741" s="103"/>
      <c r="S1741" s="103"/>
      <c r="T1741" s="103"/>
      <c r="U1741" s="103"/>
      <c r="V1741" s="103"/>
      <c r="W1741" s="103"/>
      <c r="X1741" s="103"/>
      <c r="Y1741" s="103"/>
    </row>
    <row r="1742" spans="1:25" s="446" customFormat="1" ht="66" customHeight="1">
      <c r="A1742" s="684"/>
      <c r="B1742" s="658"/>
      <c r="C1742" s="63"/>
      <c r="D1742" s="447"/>
      <c r="E1742" s="1268" t="s">
        <v>929</v>
      </c>
      <c r="F1742" s="1269"/>
      <c r="G1742" s="1269"/>
      <c r="H1742" s="1269"/>
      <c r="I1742" s="1269"/>
      <c r="J1742" s="1269"/>
      <c r="K1742" s="1269"/>
      <c r="L1742" s="1269"/>
      <c r="M1742" s="1269"/>
      <c r="N1742" s="1269"/>
      <c r="O1742" s="1270"/>
      <c r="P1742" s="777" t="s">
        <v>286</v>
      </c>
      <c r="Q1742" s="1188"/>
      <c r="R1742" s="777"/>
    </row>
    <row r="1743" spans="1:25" s="415" customFormat="1" ht="73.5" customHeight="1">
      <c r="A1743" s="650"/>
      <c r="B1743" s="651"/>
      <c r="C1743" s="594">
        <v>6</v>
      </c>
      <c r="D1743" s="603"/>
      <c r="E1743" s="1220" t="s">
        <v>203</v>
      </c>
      <c r="F1743" s="588"/>
      <c r="G1743" s="596"/>
      <c r="H1743" s="596"/>
      <c r="I1743" s="596"/>
      <c r="J1743" s="596"/>
      <c r="K1743" s="596">
        <v>20000</v>
      </c>
      <c r="L1743" s="589">
        <f t="shared" si="256"/>
        <v>20000</v>
      </c>
      <c r="M1743" s="589">
        <v>20000</v>
      </c>
      <c r="N1743" s="589">
        <v>1038.46</v>
      </c>
      <c r="O1743" s="927">
        <f>N1743/M1743</f>
        <v>5.1923000000000004E-2</v>
      </c>
      <c r="P1743" s="770" t="s">
        <v>286</v>
      </c>
      <c r="Q1743" s="103"/>
      <c r="R1743" s="103"/>
      <c r="S1743" s="103"/>
      <c r="T1743" s="103"/>
      <c r="U1743" s="103"/>
      <c r="V1743" s="103"/>
      <c r="W1743" s="103"/>
      <c r="X1743" s="103"/>
      <c r="Y1743" s="103"/>
    </row>
    <row r="1744" spans="1:25" s="446" customFormat="1" ht="66" customHeight="1">
      <c r="A1744" s="684"/>
      <c r="B1744" s="658"/>
      <c r="C1744" s="63"/>
      <c r="D1744" s="447"/>
      <c r="E1744" s="1268" t="s">
        <v>842</v>
      </c>
      <c r="F1744" s="1269"/>
      <c r="G1744" s="1269"/>
      <c r="H1744" s="1269"/>
      <c r="I1744" s="1269"/>
      <c r="J1744" s="1269"/>
      <c r="K1744" s="1269"/>
      <c r="L1744" s="1269"/>
      <c r="M1744" s="1269"/>
      <c r="N1744" s="1269"/>
      <c r="O1744" s="1270"/>
      <c r="P1744" s="777" t="s">
        <v>286</v>
      </c>
      <c r="Q1744" s="1188"/>
      <c r="R1744" s="777"/>
    </row>
    <row r="1745" spans="1:25" s="97" customFormat="1" ht="92.25" customHeight="1">
      <c r="A1745" s="650"/>
      <c r="B1745" s="651"/>
      <c r="C1745" s="594">
        <v>7</v>
      </c>
      <c r="D1745" s="603"/>
      <c r="E1745" s="1221" t="s">
        <v>283</v>
      </c>
      <c r="F1745" s="588"/>
      <c r="G1745" s="596"/>
      <c r="H1745" s="596"/>
      <c r="I1745" s="596"/>
      <c r="J1745" s="596"/>
      <c r="K1745" s="596">
        <v>20000</v>
      </c>
      <c r="L1745" s="589">
        <f t="shared" si="256"/>
        <v>20000</v>
      </c>
      <c r="M1745" s="589">
        <v>20000</v>
      </c>
      <c r="N1745" s="589">
        <v>3316.8</v>
      </c>
      <c r="O1745" s="927">
        <f>N1745/M1745</f>
        <v>0.16584000000000002</v>
      </c>
      <c r="P1745" s="770" t="s">
        <v>286</v>
      </c>
      <c r="Q1745" s="103"/>
      <c r="R1745" s="103"/>
      <c r="S1745" s="103"/>
      <c r="T1745" s="103"/>
      <c r="U1745" s="103"/>
      <c r="V1745" s="103"/>
      <c r="W1745" s="103"/>
      <c r="X1745" s="103"/>
      <c r="Y1745" s="103"/>
    </row>
    <row r="1746" spans="1:25" s="446" customFormat="1" ht="66" customHeight="1">
      <c r="A1746" s="684"/>
      <c r="B1746" s="658"/>
      <c r="C1746" s="63"/>
      <c r="D1746" s="447"/>
      <c r="E1746" s="1268" t="s">
        <v>930</v>
      </c>
      <c r="F1746" s="1269"/>
      <c r="G1746" s="1269"/>
      <c r="H1746" s="1269"/>
      <c r="I1746" s="1269"/>
      <c r="J1746" s="1269"/>
      <c r="K1746" s="1269"/>
      <c r="L1746" s="1269"/>
      <c r="M1746" s="1269"/>
      <c r="N1746" s="1269"/>
      <c r="O1746" s="1270"/>
      <c r="P1746" s="777" t="s">
        <v>286</v>
      </c>
      <c r="Q1746" s="1188"/>
      <c r="R1746" s="777"/>
    </row>
    <row r="1747" spans="1:25" s="415" customFormat="1" ht="68.25" customHeight="1">
      <c r="A1747" s="650"/>
      <c r="B1747" s="651"/>
      <c r="C1747" s="594">
        <v>8</v>
      </c>
      <c r="D1747" s="603"/>
      <c r="E1747" s="1222" t="s">
        <v>351</v>
      </c>
      <c r="F1747" s="588"/>
      <c r="G1747" s="596"/>
      <c r="H1747" s="596"/>
      <c r="I1747" s="596"/>
      <c r="J1747" s="596"/>
      <c r="K1747" s="596">
        <v>10000</v>
      </c>
      <c r="L1747" s="589">
        <f t="shared" ref="L1747:L1749" si="257">SUM(F1747:K1747)</f>
        <v>10000</v>
      </c>
      <c r="M1747" s="589">
        <v>10000</v>
      </c>
      <c r="N1747" s="589">
        <v>1920</v>
      </c>
      <c r="O1747" s="927">
        <v>0</v>
      </c>
      <c r="P1747" s="770" t="s">
        <v>286</v>
      </c>
      <c r="Q1747" s="103"/>
      <c r="R1747" s="103"/>
      <c r="S1747" s="103"/>
      <c r="T1747" s="103"/>
      <c r="U1747" s="103"/>
      <c r="V1747" s="103"/>
      <c r="W1747" s="103"/>
      <c r="X1747" s="103"/>
      <c r="Y1747" s="103"/>
    </row>
    <row r="1748" spans="1:25" s="446" customFormat="1" ht="51.75" customHeight="1">
      <c r="A1748" s="684"/>
      <c r="B1748" s="658"/>
      <c r="C1748" s="63"/>
      <c r="D1748" s="447"/>
      <c r="E1748" s="1268" t="s">
        <v>826</v>
      </c>
      <c r="F1748" s="1269"/>
      <c r="G1748" s="1269"/>
      <c r="H1748" s="1269"/>
      <c r="I1748" s="1269"/>
      <c r="J1748" s="1269"/>
      <c r="K1748" s="1269"/>
      <c r="L1748" s="1269"/>
      <c r="M1748" s="1269"/>
      <c r="N1748" s="1269"/>
      <c r="O1748" s="1270"/>
      <c r="P1748" s="777"/>
      <c r="Q1748" s="1188"/>
      <c r="R1748" s="777"/>
    </row>
    <row r="1749" spans="1:25" s="415" customFormat="1" ht="111.75" customHeight="1">
      <c r="A1749" s="650"/>
      <c r="B1749" s="651"/>
      <c r="C1749" s="594">
        <v>9</v>
      </c>
      <c r="D1749" s="603"/>
      <c r="E1749" s="1222" t="s">
        <v>845</v>
      </c>
      <c r="F1749" s="588"/>
      <c r="G1749" s="596"/>
      <c r="H1749" s="596"/>
      <c r="I1749" s="596"/>
      <c r="J1749" s="596"/>
      <c r="K1749" s="596">
        <v>5000</v>
      </c>
      <c r="L1749" s="589">
        <f t="shared" si="257"/>
        <v>5000</v>
      </c>
      <c r="M1749" s="589">
        <v>6209</v>
      </c>
      <c r="N1749" s="589">
        <v>4218.8999999999996</v>
      </c>
      <c r="O1749" s="927">
        <f>N1749/M1749</f>
        <v>0.67948139797068763</v>
      </c>
      <c r="P1749" s="770" t="s">
        <v>286</v>
      </c>
      <c r="Q1749" s="103"/>
      <c r="R1749" s="103"/>
      <c r="S1749" s="103"/>
      <c r="T1749" s="103"/>
      <c r="U1749" s="103"/>
      <c r="V1749" s="103"/>
      <c r="W1749" s="103"/>
      <c r="X1749" s="103"/>
      <c r="Y1749" s="103"/>
    </row>
    <row r="1750" spans="1:25" s="446" customFormat="1" ht="51.75" customHeight="1">
      <c r="A1750" s="684"/>
      <c r="B1750" s="658"/>
      <c r="C1750" s="63"/>
      <c r="D1750" s="447"/>
      <c r="E1750" s="1268" t="s">
        <v>843</v>
      </c>
      <c r="F1750" s="1269"/>
      <c r="G1750" s="1269"/>
      <c r="H1750" s="1269"/>
      <c r="I1750" s="1269"/>
      <c r="J1750" s="1269"/>
      <c r="K1750" s="1269"/>
      <c r="L1750" s="1269"/>
      <c r="M1750" s="1269"/>
      <c r="N1750" s="1269"/>
      <c r="O1750" s="1270"/>
      <c r="P1750" s="777"/>
      <c r="Q1750" s="1188"/>
      <c r="R1750" s="777"/>
    </row>
    <row r="1751" spans="1:25" s="415" customFormat="1" ht="66.75" customHeight="1">
      <c r="A1751" s="650"/>
      <c r="B1751" s="651"/>
      <c r="C1751" s="594">
        <v>10</v>
      </c>
      <c r="D1751" s="603"/>
      <c r="E1751" s="1222" t="s">
        <v>284</v>
      </c>
      <c r="F1751" s="588"/>
      <c r="G1751" s="596"/>
      <c r="H1751" s="596"/>
      <c r="I1751" s="596"/>
      <c r="J1751" s="596"/>
      <c r="K1751" s="596">
        <f>10000-2000</f>
        <v>8000</v>
      </c>
      <c r="L1751" s="589">
        <f t="shared" ref="L1751" si="258">SUM(F1751:K1751)</f>
        <v>8000</v>
      </c>
      <c r="M1751" s="589">
        <v>6791</v>
      </c>
      <c r="N1751" s="589">
        <v>1294.0999999999999</v>
      </c>
      <c r="O1751" s="927">
        <f>N1751/M1751</f>
        <v>0.1905610366661758</v>
      </c>
      <c r="P1751" s="770" t="s">
        <v>286</v>
      </c>
      <c r="Q1751" s="103"/>
      <c r="R1751" s="103"/>
      <c r="S1751" s="103"/>
      <c r="T1751" s="103"/>
      <c r="U1751" s="103"/>
      <c r="V1751" s="103"/>
      <c r="W1751" s="103"/>
      <c r="X1751" s="103"/>
      <c r="Y1751" s="103"/>
    </row>
    <row r="1752" spans="1:25" s="446" customFormat="1" ht="51.75" customHeight="1">
      <c r="A1752" s="684"/>
      <c r="B1752" s="658"/>
      <c r="C1752" s="63"/>
      <c r="D1752" s="447"/>
      <c r="E1752" s="1268" t="s">
        <v>844</v>
      </c>
      <c r="F1752" s="1269"/>
      <c r="G1752" s="1269"/>
      <c r="H1752" s="1269"/>
      <c r="I1752" s="1269"/>
      <c r="J1752" s="1269"/>
      <c r="K1752" s="1269"/>
      <c r="L1752" s="1269"/>
      <c r="M1752" s="1269"/>
      <c r="N1752" s="1269"/>
      <c r="O1752" s="1270"/>
      <c r="P1752" s="777"/>
      <c r="Q1752" s="1188"/>
      <c r="R1752" s="777"/>
    </row>
    <row r="1753" spans="1:25" s="415" customFormat="1" ht="60" customHeight="1">
      <c r="A1753" s="650"/>
      <c r="B1753" s="651"/>
      <c r="C1753" s="594">
        <v>11</v>
      </c>
      <c r="D1753" s="603"/>
      <c r="E1753" s="1222" t="s">
        <v>320</v>
      </c>
      <c r="F1753" s="588"/>
      <c r="G1753" s="596"/>
      <c r="H1753" s="596"/>
      <c r="I1753" s="596"/>
      <c r="J1753" s="596"/>
      <c r="K1753" s="596">
        <v>1000</v>
      </c>
      <c r="L1753" s="589">
        <f t="shared" ref="L1753" si="259">SUM(F1753:K1753)</f>
        <v>1000</v>
      </c>
      <c r="M1753" s="589">
        <v>1000</v>
      </c>
      <c r="N1753" s="589">
        <v>0</v>
      </c>
      <c r="O1753" s="927">
        <v>0</v>
      </c>
      <c r="P1753" s="770" t="s">
        <v>286</v>
      </c>
      <c r="Q1753" s="103"/>
      <c r="R1753" s="103"/>
      <c r="S1753" s="103"/>
      <c r="T1753" s="103"/>
      <c r="U1753" s="103"/>
      <c r="V1753" s="103"/>
      <c r="W1753" s="103"/>
      <c r="X1753" s="103"/>
      <c r="Y1753" s="103"/>
    </row>
    <row r="1754" spans="1:25" s="446" customFormat="1" ht="51.75" customHeight="1">
      <c r="A1754" s="684"/>
      <c r="B1754" s="658"/>
      <c r="C1754" s="63"/>
      <c r="D1754" s="447"/>
      <c r="E1754" s="1268" t="s">
        <v>826</v>
      </c>
      <c r="F1754" s="1269"/>
      <c r="G1754" s="1269"/>
      <c r="H1754" s="1269"/>
      <c r="I1754" s="1269"/>
      <c r="J1754" s="1269"/>
      <c r="K1754" s="1269"/>
      <c r="L1754" s="1269"/>
      <c r="M1754" s="1269"/>
      <c r="N1754" s="1269"/>
      <c r="O1754" s="1270"/>
      <c r="P1754" s="777"/>
      <c r="Q1754" s="1188"/>
      <c r="R1754" s="777"/>
    </row>
    <row r="1755" spans="1:25" s="415" customFormat="1" ht="90" customHeight="1">
      <c r="A1755" s="650"/>
      <c r="B1755" s="651"/>
      <c r="C1755" s="594">
        <v>12</v>
      </c>
      <c r="D1755" s="603"/>
      <c r="E1755" s="1222" t="s">
        <v>319</v>
      </c>
      <c r="F1755" s="588"/>
      <c r="G1755" s="596"/>
      <c r="H1755" s="596"/>
      <c r="I1755" s="596"/>
      <c r="J1755" s="596"/>
      <c r="K1755" s="596">
        <v>19043.11</v>
      </c>
      <c r="L1755" s="589">
        <f t="shared" ref="L1755" si="260">SUM(F1755:K1755)</f>
        <v>19043.11</v>
      </c>
      <c r="M1755" s="589">
        <v>19043.11</v>
      </c>
      <c r="N1755" s="589">
        <v>11949.45</v>
      </c>
      <c r="O1755" s="927">
        <f>N1755/M1755</f>
        <v>0.62749466867544224</v>
      </c>
      <c r="P1755" s="770" t="s">
        <v>286</v>
      </c>
      <c r="Q1755" s="103"/>
      <c r="R1755" s="103"/>
      <c r="S1755" s="103"/>
      <c r="T1755" s="103"/>
      <c r="U1755" s="103"/>
      <c r="V1755" s="103"/>
      <c r="W1755" s="103"/>
      <c r="X1755" s="103"/>
      <c r="Y1755" s="103"/>
    </row>
    <row r="1756" spans="1:25" s="446" customFormat="1" ht="61.2" customHeight="1">
      <c r="A1756" s="684"/>
      <c r="B1756" s="658"/>
      <c r="C1756" s="63"/>
      <c r="D1756" s="447"/>
      <c r="E1756" s="1268" t="s">
        <v>931</v>
      </c>
      <c r="F1756" s="1269"/>
      <c r="G1756" s="1269"/>
      <c r="H1756" s="1269"/>
      <c r="I1756" s="1269"/>
      <c r="J1756" s="1269"/>
      <c r="K1756" s="1269"/>
      <c r="L1756" s="1269"/>
      <c r="M1756" s="1269"/>
      <c r="N1756" s="1269"/>
      <c r="O1756" s="1270"/>
      <c r="P1756" s="777"/>
      <c r="Q1756" s="1188"/>
      <c r="R1756" s="777"/>
    </row>
    <row r="1757" spans="1:25" s="415" customFormat="1" ht="67.2" customHeight="1">
      <c r="A1757" s="650"/>
      <c r="B1757" s="651"/>
      <c r="C1757" s="594">
        <v>13</v>
      </c>
      <c r="D1757" s="603"/>
      <c r="E1757" s="1222" t="s">
        <v>398</v>
      </c>
      <c r="F1757" s="588"/>
      <c r="G1757" s="596"/>
      <c r="H1757" s="596"/>
      <c r="I1757" s="596"/>
      <c r="J1757" s="596"/>
      <c r="K1757" s="596">
        <v>9000</v>
      </c>
      <c r="L1757" s="589">
        <f t="shared" ref="L1757:L1765" si="261">SUM(F1757:K1757)</f>
        <v>9000</v>
      </c>
      <c r="M1757" s="589">
        <v>9000</v>
      </c>
      <c r="N1757" s="589">
        <v>0</v>
      </c>
      <c r="O1757" s="927">
        <v>0</v>
      </c>
      <c r="P1757" s="770" t="s">
        <v>286</v>
      </c>
      <c r="Q1757" s="103"/>
      <c r="R1757" s="103"/>
      <c r="S1757" s="103"/>
      <c r="T1757" s="103"/>
      <c r="U1757" s="103"/>
      <c r="V1757" s="103"/>
      <c r="W1757" s="103"/>
      <c r="X1757" s="103"/>
      <c r="Y1757" s="103"/>
    </row>
    <row r="1758" spans="1:25" s="446" customFormat="1" ht="51.75" customHeight="1">
      <c r="A1758" s="684"/>
      <c r="B1758" s="658"/>
      <c r="C1758" s="63"/>
      <c r="D1758" s="447"/>
      <c r="E1758" s="1268" t="s">
        <v>826</v>
      </c>
      <c r="F1758" s="1269"/>
      <c r="G1758" s="1269"/>
      <c r="H1758" s="1269"/>
      <c r="I1758" s="1269"/>
      <c r="J1758" s="1269"/>
      <c r="K1758" s="1269"/>
      <c r="L1758" s="1269"/>
      <c r="M1758" s="1269"/>
      <c r="N1758" s="1269"/>
      <c r="O1758" s="1270"/>
      <c r="P1758" s="777"/>
      <c r="Q1758" s="1188"/>
      <c r="R1758" s="777"/>
    </row>
    <row r="1759" spans="1:25" s="415" customFormat="1" ht="71.400000000000006" customHeight="1">
      <c r="A1759" s="650"/>
      <c r="B1759" s="651"/>
      <c r="C1759" s="594">
        <v>14</v>
      </c>
      <c r="D1759" s="603"/>
      <c r="E1759" s="1222" t="s">
        <v>399</v>
      </c>
      <c r="F1759" s="588"/>
      <c r="G1759" s="596"/>
      <c r="H1759" s="596"/>
      <c r="I1759" s="596"/>
      <c r="J1759" s="596"/>
      <c r="K1759" s="596">
        <v>1752.94</v>
      </c>
      <c r="L1759" s="589">
        <f t="shared" ref="L1759" si="262">SUM(F1759:K1759)</f>
        <v>1752.94</v>
      </c>
      <c r="M1759" s="589">
        <v>1752.94</v>
      </c>
      <c r="N1759" s="589">
        <v>0</v>
      </c>
      <c r="O1759" s="927">
        <v>0</v>
      </c>
      <c r="P1759" s="770" t="s">
        <v>286</v>
      </c>
      <c r="Q1759" s="103"/>
      <c r="R1759" s="103"/>
      <c r="S1759" s="103"/>
      <c r="T1759" s="103"/>
      <c r="U1759" s="103"/>
      <c r="V1759" s="103"/>
      <c r="W1759" s="103"/>
      <c r="X1759" s="103"/>
      <c r="Y1759" s="103"/>
    </row>
    <row r="1760" spans="1:25" s="446" customFormat="1" ht="51.75" customHeight="1">
      <c r="A1760" s="684"/>
      <c r="B1760" s="658"/>
      <c r="C1760" s="63"/>
      <c r="D1760" s="447"/>
      <c r="E1760" s="1268" t="s">
        <v>826</v>
      </c>
      <c r="F1760" s="1269"/>
      <c r="G1760" s="1269"/>
      <c r="H1760" s="1269"/>
      <c r="I1760" s="1269"/>
      <c r="J1760" s="1269"/>
      <c r="K1760" s="1269"/>
      <c r="L1760" s="1269"/>
      <c r="M1760" s="1269"/>
      <c r="N1760" s="1269"/>
      <c r="O1760" s="1270"/>
      <c r="P1760" s="777"/>
      <c r="Q1760" s="1188"/>
      <c r="R1760" s="777"/>
    </row>
    <row r="1761" spans="1:25" s="103" customFormat="1" ht="64.5" customHeight="1">
      <c r="A1761" s="824"/>
      <c r="B1761" s="825"/>
      <c r="C1761" s="810">
        <v>15</v>
      </c>
      <c r="D1761" s="811"/>
      <c r="E1761" s="1058" t="s">
        <v>410</v>
      </c>
      <c r="F1761" s="1059"/>
      <c r="G1761" s="1059"/>
      <c r="H1761" s="1059"/>
      <c r="I1761" s="1059"/>
      <c r="J1761" s="1059"/>
      <c r="K1761" s="1059">
        <v>50000</v>
      </c>
      <c r="L1761" s="1060">
        <f t="shared" si="261"/>
        <v>50000</v>
      </c>
      <c r="M1761" s="1060">
        <v>50000</v>
      </c>
      <c r="N1761" s="1060">
        <v>0</v>
      </c>
      <c r="O1761" s="1061">
        <v>0</v>
      </c>
      <c r="P1761" s="770" t="s">
        <v>286</v>
      </c>
    </row>
    <row r="1762" spans="1:25" s="446" customFormat="1" ht="51.75" customHeight="1">
      <c r="A1762" s="684"/>
      <c r="B1762" s="658"/>
      <c r="C1762" s="63"/>
      <c r="D1762" s="447"/>
      <c r="E1762" s="1268" t="s">
        <v>826</v>
      </c>
      <c r="F1762" s="1269"/>
      <c r="G1762" s="1269"/>
      <c r="H1762" s="1269"/>
      <c r="I1762" s="1269"/>
      <c r="J1762" s="1269"/>
      <c r="K1762" s="1269"/>
      <c r="L1762" s="1269"/>
      <c r="M1762" s="1269"/>
      <c r="N1762" s="1269"/>
      <c r="O1762" s="1270"/>
      <c r="P1762" s="777"/>
      <c r="Q1762" s="1188"/>
      <c r="R1762" s="777"/>
    </row>
    <row r="1763" spans="1:25" s="103" customFormat="1" ht="129" customHeight="1">
      <c r="A1763" s="824"/>
      <c r="B1763" s="825"/>
      <c r="C1763" s="846">
        <v>16</v>
      </c>
      <c r="D1763" s="1223"/>
      <c r="E1763" s="1058" t="s">
        <v>364</v>
      </c>
      <c r="F1763" s="1059"/>
      <c r="G1763" s="1059"/>
      <c r="H1763" s="1059"/>
      <c r="I1763" s="1059"/>
      <c r="J1763" s="1059"/>
      <c r="K1763" s="1059">
        <v>60000</v>
      </c>
      <c r="L1763" s="1060">
        <f t="shared" si="261"/>
        <v>60000</v>
      </c>
      <c r="M1763" s="1060">
        <v>60000</v>
      </c>
      <c r="N1763" s="1060">
        <v>0</v>
      </c>
      <c r="O1763" s="1061">
        <v>0</v>
      </c>
      <c r="P1763" s="770" t="s">
        <v>286</v>
      </c>
    </row>
    <row r="1764" spans="1:25" s="446" customFormat="1" ht="51.75" customHeight="1">
      <c r="A1764" s="684"/>
      <c r="B1764" s="658"/>
      <c r="C1764" s="63"/>
      <c r="D1764" s="447"/>
      <c r="E1764" s="1268" t="s">
        <v>826</v>
      </c>
      <c r="F1764" s="1269"/>
      <c r="G1764" s="1269"/>
      <c r="H1764" s="1269"/>
      <c r="I1764" s="1269"/>
      <c r="J1764" s="1269"/>
      <c r="K1764" s="1269"/>
      <c r="L1764" s="1269"/>
      <c r="M1764" s="1269"/>
      <c r="N1764" s="1269"/>
      <c r="O1764" s="1270"/>
      <c r="P1764" s="777"/>
      <c r="Q1764" s="1188"/>
      <c r="R1764" s="777"/>
    </row>
    <row r="1765" spans="1:25" s="103" customFormat="1" ht="72" customHeight="1">
      <c r="A1765" s="824"/>
      <c r="B1765" s="825"/>
      <c r="C1765" s="846">
        <v>17</v>
      </c>
      <c r="D1765" s="1223"/>
      <c r="E1765" s="1058" t="s">
        <v>416</v>
      </c>
      <c r="F1765" s="1059"/>
      <c r="G1765" s="1059"/>
      <c r="H1765" s="1059"/>
      <c r="I1765" s="1059"/>
      <c r="J1765" s="1059"/>
      <c r="K1765" s="1059">
        <v>10000</v>
      </c>
      <c r="L1765" s="1060">
        <f t="shared" si="261"/>
        <v>10000</v>
      </c>
      <c r="M1765" s="1060">
        <v>10000</v>
      </c>
      <c r="N1765" s="1060">
        <v>0</v>
      </c>
      <c r="O1765" s="1061">
        <v>0</v>
      </c>
      <c r="P1765" s="770" t="s">
        <v>286</v>
      </c>
    </row>
    <row r="1766" spans="1:25" s="446" customFormat="1" ht="51.75" customHeight="1">
      <c r="A1766" s="684"/>
      <c r="B1766" s="658"/>
      <c r="C1766" s="63"/>
      <c r="D1766" s="447"/>
      <c r="E1766" s="1268" t="s">
        <v>826</v>
      </c>
      <c r="F1766" s="1269"/>
      <c r="G1766" s="1269"/>
      <c r="H1766" s="1269"/>
      <c r="I1766" s="1269"/>
      <c r="J1766" s="1269"/>
      <c r="K1766" s="1269"/>
      <c r="L1766" s="1269"/>
      <c r="M1766" s="1269"/>
      <c r="N1766" s="1269"/>
      <c r="O1766" s="1270"/>
      <c r="P1766" s="777"/>
      <c r="Q1766" s="1188"/>
      <c r="R1766" s="777"/>
    </row>
    <row r="1767" spans="1:25" s="103" customFormat="1" ht="90.75" customHeight="1">
      <c r="A1767" s="824"/>
      <c r="B1767" s="825"/>
      <c r="C1767" s="810">
        <v>18</v>
      </c>
      <c r="D1767" s="811"/>
      <c r="E1767" s="1058" t="s">
        <v>664</v>
      </c>
      <c r="F1767" s="1059"/>
      <c r="G1767" s="1059"/>
      <c r="H1767" s="1059"/>
      <c r="I1767" s="1059"/>
      <c r="J1767" s="1059"/>
      <c r="K1767" s="1059">
        <v>50000</v>
      </c>
      <c r="L1767" s="1060">
        <v>0</v>
      </c>
      <c r="M1767" s="1060">
        <v>4950</v>
      </c>
      <c r="N1767" s="1060">
        <v>0</v>
      </c>
      <c r="O1767" s="1061">
        <v>0</v>
      </c>
      <c r="P1767" s="770" t="s">
        <v>286</v>
      </c>
    </row>
    <row r="1768" spans="1:25" s="415" customFormat="1" ht="63.75" customHeight="1">
      <c r="A1768" s="693"/>
      <c r="B1768" s="694"/>
      <c r="C1768" s="750"/>
      <c r="D1768" s="447"/>
      <c r="E1768" s="1299" t="s">
        <v>665</v>
      </c>
      <c r="F1768" s="1299"/>
      <c r="G1768" s="1299"/>
      <c r="H1768" s="1299"/>
      <c r="I1768" s="1299"/>
      <c r="J1768" s="1299"/>
      <c r="K1768" s="1299"/>
      <c r="L1768" s="1299"/>
      <c r="M1768" s="1299"/>
      <c r="N1768" s="1299"/>
      <c r="O1768" s="1300"/>
      <c r="P1768" s="762"/>
    </row>
    <row r="1769" spans="1:25" s="124" customFormat="1" ht="67.5" customHeight="1">
      <c r="A1769" s="86">
        <v>19</v>
      </c>
      <c r="B1769" s="85">
        <v>921</v>
      </c>
      <c r="C1769" s="84"/>
      <c r="D1769" s="83"/>
      <c r="E1769" s="126" t="s">
        <v>15</v>
      </c>
      <c r="F1769" s="81">
        <f t="shared" ref="F1769:K1769" si="263">F1770+F1785+F1787+F1789</f>
        <v>0</v>
      </c>
      <c r="G1769" s="81">
        <f t="shared" si="263"/>
        <v>0</v>
      </c>
      <c r="H1769" s="81">
        <f t="shared" si="263"/>
        <v>1216197</v>
      </c>
      <c r="I1769" s="81">
        <f t="shared" si="263"/>
        <v>0</v>
      </c>
      <c r="J1769" s="81">
        <f t="shared" si="263"/>
        <v>0</v>
      </c>
      <c r="K1769" s="81">
        <f t="shared" si="263"/>
        <v>2879772</v>
      </c>
      <c r="L1769" s="80">
        <f>SUM(F1769:K1769)</f>
        <v>4095969</v>
      </c>
      <c r="M1769" s="80">
        <f>M1770+M1785+M1787+M1789</f>
        <v>4106420</v>
      </c>
      <c r="N1769" s="80">
        <f>N1770+N1785+N1787+N1789</f>
        <v>2989634.99</v>
      </c>
      <c r="O1769" s="867">
        <f>N1769/M1769</f>
        <v>0.72803926291027221</v>
      </c>
      <c r="P1769" s="769" t="s">
        <v>286</v>
      </c>
      <c r="Q1769" s="125"/>
      <c r="R1769" s="125"/>
      <c r="S1769" s="125"/>
      <c r="T1769" s="125"/>
      <c r="U1769" s="125"/>
      <c r="V1769" s="125"/>
      <c r="W1769" s="125"/>
      <c r="X1769" s="125"/>
      <c r="Y1769" s="125"/>
    </row>
    <row r="1770" spans="1:25" s="67" customFormat="1" ht="67.5" customHeight="1">
      <c r="A1770" s="394"/>
      <c r="B1770" s="78">
        <v>92109</v>
      </c>
      <c r="C1770" s="77"/>
      <c r="D1770" s="76"/>
      <c r="E1770" s="75" t="s">
        <v>142</v>
      </c>
      <c r="F1770" s="414">
        <f t="shared" ref="F1770:K1770" si="264">F1771+F1772+F1773+F1783+F1784</f>
        <v>0</v>
      </c>
      <c r="G1770" s="414">
        <f t="shared" si="264"/>
        <v>0</v>
      </c>
      <c r="H1770" s="414">
        <f t="shared" si="264"/>
        <v>0</v>
      </c>
      <c r="I1770" s="414">
        <f t="shared" si="264"/>
        <v>0</v>
      </c>
      <c r="J1770" s="414">
        <f t="shared" si="264"/>
        <v>0</v>
      </c>
      <c r="K1770" s="414">
        <f t="shared" si="264"/>
        <v>873300</v>
      </c>
      <c r="L1770" s="95">
        <f>K1770</f>
        <v>873300</v>
      </c>
      <c r="M1770" s="95">
        <f>M1771+M1772+M1773+M1783+M1784</f>
        <v>873300</v>
      </c>
      <c r="N1770" s="95">
        <f>N1771+N1772+N1773+N1783+N1784</f>
        <v>480000</v>
      </c>
      <c r="O1770" s="868">
        <f>N1770/M1770</f>
        <v>0.54963929920989352</v>
      </c>
      <c r="P1770" s="769" t="s">
        <v>286</v>
      </c>
      <c r="Q1770" s="121"/>
      <c r="R1770" s="121"/>
      <c r="S1770" s="121"/>
      <c r="T1770" s="121"/>
      <c r="U1770" s="121"/>
      <c r="V1770" s="121"/>
      <c r="W1770" s="121"/>
      <c r="X1770" s="121"/>
      <c r="Y1770" s="121"/>
    </row>
    <row r="1771" spans="1:25" s="67" customFormat="1" ht="67.5" customHeight="1">
      <c r="A1771" s="394"/>
      <c r="B1771" s="123"/>
      <c r="C1771" s="101">
        <v>1</v>
      </c>
      <c r="D1771" s="100"/>
      <c r="E1771" s="122" t="s">
        <v>180</v>
      </c>
      <c r="F1771" s="192"/>
      <c r="G1771" s="436"/>
      <c r="H1771" s="436"/>
      <c r="I1771" s="436"/>
      <c r="J1771" s="436"/>
      <c r="K1771" s="98">
        <v>300</v>
      </c>
      <c r="L1771" s="98">
        <f t="shared" ref="L1771:L1773" si="265">SUM(F1771:K1771)</f>
        <v>300</v>
      </c>
      <c r="M1771" s="98">
        <v>300</v>
      </c>
      <c r="N1771" s="98">
        <v>0</v>
      </c>
      <c r="O1771" s="880">
        <v>0</v>
      </c>
      <c r="P1771" s="769" t="s">
        <v>286</v>
      </c>
      <c r="Q1771" s="121"/>
      <c r="R1771" s="121"/>
      <c r="S1771" s="121"/>
      <c r="T1771" s="121"/>
      <c r="U1771" s="121"/>
      <c r="V1771" s="121"/>
      <c r="W1771" s="121"/>
      <c r="X1771" s="121"/>
      <c r="Y1771" s="121"/>
    </row>
    <row r="1772" spans="1:25" s="111" customFormat="1" ht="60" customHeight="1">
      <c r="A1772" s="393"/>
      <c r="B1772" s="117"/>
      <c r="C1772" s="390">
        <v>2</v>
      </c>
      <c r="D1772" s="115"/>
      <c r="E1772" s="114" t="s">
        <v>236</v>
      </c>
      <c r="F1772" s="495"/>
      <c r="G1772" s="113"/>
      <c r="H1772" s="113"/>
      <c r="I1772" s="113"/>
      <c r="J1772" s="113"/>
      <c r="K1772" s="456">
        <v>740000</v>
      </c>
      <c r="L1772" s="456">
        <f>SUM(F1772:K1772)</f>
        <v>740000</v>
      </c>
      <c r="M1772" s="456">
        <v>740000</v>
      </c>
      <c r="N1772" s="456">
        <v>380000</v>
      </c>
      <c r="O1772" s="871">
        <f>N1772/M1772</f>
        <v>0.51351351351351349</v>
      </c>
      <c r="P1772" s="788" t="s">
        <v>286</v>
      </c>
      <c r="Q1772" s="112"/>
      <c r="R1772" s="112"/>
      <c r="S1772" s="112"/>
      <c r="T1772" s="112"/>
      <c r="U1772" s="112"/>
      <c r="V1772" s="112"/>
      <c r="W1772" s="112"/>
      <c r="X1772" s="112"/>
      <c r="Y1772" s="112"/>
    </row>
    <row r="1773" spans="1:25" s="111" customFormat="1" ht="63.75" customHeight="1">
      <c r="A1773" s="393"/>
      <c r="B1773" s="117"/>
      <c r="C1773" s="116">
        <v>3</v>
      </c>
      <c r="D1773" s="115"/>
      <c r="E1773" s="114" t="s">
        <v>14</v>
      </c>
      <c r="F1773" s="495"/>
      <c r="G1773" s="113"/>
      <c r="H1773" s="113"/>
      <c r="I1773" s="113"/>
      <c r="J1773" s="113"/>
      <c r="K1773" s="456">
        <v>120000</v>
      </c>
      <c r="L1773" s="456">
        <f t="shared" si="265"/>
        <v>120000</v>
      </c>
      <c r="M1773" s="456">
        <v>120000</v>
      </c>
      <c r="N1773" s="456">
        <v>100000</v>
      </c>
      <c r="O1773" s="871">
        <f>N1773/M1773</f>
        <v>0.83333333333333337</v>
      </c>
      <c r="P1773" s="788" t="s">
        <v>286</v>
      </c>
      <c r="Q1773" s="112"/>
      <c r="R1773" s="112"/>
      <c r="S1773" s="112"/>
      <c r="T1773" s="112"/>
      <c r="U1773" s="112"/>
      <c r="V1773" s="112"/>
      <c r="W1773" s="112"/>
      <c r="X1773" s="112"/>
      <c r="Y1773" s="112"/>
    </row>
    <row r="1774" spans="1:25" s="431" customFormat="1" ht="39" customHeight="1">
      <c r="A1774" s="396"/>
      <c r="B1774" s="110"/>
      <c r="C1774" s="109"/>
      <c r="D1774" s="464"/>
      <c r="E1774" s="422" t="s">
        <v>170</v>
      </c>
      <c r="F1774" s="364"/>
      <c r="G1774" s="107"/>
      <c r="H1774" s="107"/>
      <c r="I1774" s="107"/>
      <c r="J1774" s="107"/>
      <c r="K1774" s="107"/>
      <c r="L1774" s="107"/>
      <c r="M1774" s="107"/>
      <c r="N1774" s="107"/>
      <c r="O1774" s="884"/>
      <c r="P1774" s="771"/>
      <c r="Q1774" s="430"/>
      <c r="R1774" s="430"/>
      <c r="S1774" s="430"/>
      <c r="T1774" s="430"/>
      <c r="U1774" s="430"/>
      <c r="V1774" s="430"/>
      <c r="W1774" s="430"/>
      <c r="X1774" s="430"/>
      <c r="Y1774" s="430"/>
    </row>
    <row r="1775" spans="1:25" s="431" customFormat="1" ht="42" customHeight="1">
      <c r="A1775" s="396"/>
      <c r="B1775" s="110"/>
      <c r="C1775" s="109"/>
      <c r="D1775" s="464" t="s">
        <v>3</v>
      </c>
      <c r="E1775" s="422" t="s">
        <v>13</v>
      </c>
      <c r="F1775" s="364"/>
      <c r="G1775" s="107"/>
      <c r="H1775" s="107"/>
      <c r="I1775" s="107"/>
      <c r="J1775" s="107"/>
      <c r="K1775" s="107"/>
      <c r="L1775" s="107"/>
      <c r="M1775" s="107"/>
      <c r="N1775" s="107"/>
      <c r="O1775" s="884"/>
      <c r="P1775" s="771"/>
      <c r="Q1775" s="430"/>
      <c r="R1775" s="430"/>
      <c r="S1775" s="430"/>
      <c r="T1775" s="430"/>
      <c r="U1775" s="430"/>
      <c r="V1775" s="430"/>
      <c r="W1775" s="430"/>
      <c r="X1775" s="430"/>
      <c r="Y1775" s="430"/>
    </row>
    <row r="1776" spans="1:25" s="431" customFormat="1" ht="42" customHeight="1">
      <c r="A1776" s="396"/>
      <c r="B1776" s="110"/>
      <c r="C1776" s="109"/>
      <c r="D1776" s="464" t="s">
        <v>3</v>
      </c>
      <c r="E1776" s="422" t="s">
        <v>12</v>
      </c>
      <c r="F1776" s="364"/>
      <c r="G1776" s="107"/>
      <c r="H1776" s="107"/>
      <c r="I1776" s="107"/>
      <c r="J1776" s="107"/>
      <c r="K1776" s="107"/>
      <c r="L1776" s="107"/>
      <c r="M1776" s="107"/>
      <c r="N1776" s="107"/>
      <c r="O1776" s="884"/>
      <c r="P1776" s="771"/>
      <c r="Q1776" s="430"/>
      <c r="R1776" s="430"/>
      <c r="S1776" s="430"/>
      <c r="T1776" s="430"/>
      <c r="U1776" s="430"/>
      <c r="V1776" s="430"/>
      <c r="W1776" s="430"/>
      <c r="X1776" s="430"/>
      <c r="Y1776" s="430"/>
    </row>
    <row r="1777" spans="1:25" s="431" customFormat="1" ht="63" customHeight="1">
      <c r="A1777" s="396"/>
      <c r="B1777" s="110"/>
      <c r="C1777" s="109"/>
      <c r="D1777" s="464" t="s">
        <v>3</v>
      </c>
      <c r="E1777" s="422" t="s">
        <v>432</v>
      </c>
      <c r="F1777" s="364"/>
      <c r="G1777" s="107"/>
      <c r="H1777" s="107"/>
      <c r="I1777" s="107"/>
      <c r="J1777" s="107"/>
      <c r="K1777" s="107"/>
      <c r="L1777" s="107"/>
      <c r="M1777" s="107"/>
      <c r="N1777" s="107"/>
      <c r="O1777" s="884"/>
      <c r="P1777" s="771"/>
      <c r="Q1777" s="430"/>
      <c r="R1777" s="430"/>
      <c r="S1777" s="430"/>
      <c r="T1777" s="430"/>
      <c r="U1777" s="430"/>
      <c r="V1777" s="430"/>
      <c r="W1777" s="430"/>
      <c r="X1777" s="430"/>
      <c r="Y1777" s="430"/>
    </row>
    <row r="1778" spans="1:25" s="431" customFormat="1" ht="42" customHeight="1">
      <c r="A1778" s="396"/>
      <c r="B1778" s="110"/>
      <c r="C1778" s="109"/>
      <c r="D1778" s="464" t="s">
        <v>3</v>
      </c>
      <c r="E1778" s="422" t="s">
        <v>11</v>
      </c>
      <c r="F1778" s="364"/>
      <c r="G1778" s="107"/>
      <c r="H1778" s="107"/>
      <c r="I1778" s="107"/>
      <c r="J1778" s="107"/>
      <c r="K1778" s="107"/>
      <c r="L1778" s="107"/>
      <c r="M1778" s="107"/>
      <c r="N1778" s="107"/>
      <c r="O1778" s="884"/>
      <c r="P1778" s="771"/>
      <c r="Q1778" s="430"/>
      <c r="R1778" s="430"/>
      <c r="S1778" s="430"/>
      <c r="T1778" s="430"/>
      <c r="U1778" s="430"/>
      <c r="V1778" s="430"/>
      <c r="W1778" s="430"/>
      <c r="X1778" s="430"/>
      <c r="Y1778" s="430"/>
    </row>
    <row r="1779" spans="1:25" s="431" customFormat="1" ht="67.5" customHeight="1">
      <c r="A1779" s="396"/>
      <c r="B1779" s="110"/>
      <c r="C1779" s="109"/>
      <c r="D1779" s="464" t="s">
        <v>3</v>
      </c>
      <c r="E1779" s="422" t="s">
        <v>295</v>
      </c>
      <c r="F1779" s="364"/>
      <c r="G1779" s="107"/>
      <c r="H1779" s="107"/>
      <c r="I1779" s="107"/>
      <c r="J1779" s="107"/>
      <c r="K1779" s="107"/>
      <c r="L1779" s="107"/>
      <c r="M1779" s="107"/>
      <c r="N1779" s="107"/>
      <c r="O1779" s="884"/>
      <c r="P1779" s="771"/>
      <c r="Q1779" s="430"/>
      <c r="R1779" s="430"/>
      <c r="S1779" s="430"/>
      <c r="T1779" s="430"/>
      <c r="U1779" s="430"/>
      <c r="V1779" s="430"/>
      <c r="W1779" s="430"/>
      <c r="X1779" s="430"/>
      <c r="Y1779" s="430"/>
    </row>
    <row r="1780" spans="1:25" s="431" customFormat="1" ht="93" customHeight="1">
      <c r="A1780" s="396"/>
      <c r="B1780" s="397"/>
      <c r="C1780" s="605"/>
      <c r="D1780" s="464" t="s">
        <v>3</v>
      </c>
      <c r="E1780" s="299" t="s">
        <v>148</v>
      </c>
      <c r="F1780" s="519"/>
      <c r="G1780" s="421"/>
      <c r="H1780" s="421"/>
      <c r="I1780" s="421"/>
      <c r="J1780" s="421"/>
      <c r="K1780" s="421"/>
      <c r="L1780" s="421"/>
      <c r="M1780" s="421"/>
      <c r="N1780" s="421"/>
      <c r="O1780" s="903"/>
      <c r="P1780" s="771"/>
      <c r="Q1780" s="430"/>
      <c r="R1780" s="430"/>
      <c r="S1780" s="430"/>
      <c r="T1780" s="430"/>
      <c r="U1780" s="430"/>
      <c r="V1780" s="430"/>
      <c r="W1780" s="430"/>
      <c r="X1780" s="430"/>
      <c r="Y1780" s="430"/>
    </row>
    <row r="1781" spans="1:25" s="431" customFormat="1" ht="42" customHeight="1">
      <c r="A1781" s="396"/>
      <c r="B1781" s="110"/>
      <c r="C1781" s="109"/>
      <c r="D1781" s="464" t="s">
        <v>3</v>
      </c>
      <c r="E1781" s="299" t="s">
        <v>188</v>
      </c>
      <c r="F1781" s="364"/>
      <c r="G1781" s="107"/>
      <c r="H1781" s="107"/>
      <c r="I1781" s="107"/>
      <c r="J1781" s="107"/>
      <c r="K1781" s="107"/>
      <c r="L1781" s="107"/>
      <c r="M1781" s="107"/>
      <c r="N1781" s="107"/>
      <c r="O1781" s="884"/>
      <c r="P1781" s="771"/>
      <c r="Q1781" s="430"/>
      <c r="R1781" s="430"/>
      <c r="S1781" s="430"/>
      <c r="T1781" s="430"/>
      <c r="U1781" s="430"/>
      <c r="V1781" s="430"/>
      <c r="W1781" s="430"/>
      <c r="X1781" s="430"/>
      <c r="Y1781" s="430"/>
    </row>
    <row r="1782" spans="1:25" s="431" customFormat="1" ht="61.5" customHeight="1">
      <c r="A1782" s="396"/>
      <c r="B1782" s="110"/>
      <c r="C1782" s="109"/>
      <c r="D1782" s="464" t="s">
        <v>3</v>
      </c>
      <c r="E1782" s="299" t="s">
        <v>296</v>
      </c>
      <c r="F1782" s="364"/>
      <c r="G1782" s="107"/>
      <c r="H1782" s="107"/>
      <c r="I1782" s="107"/>
      <c r="J1782" s="107"/>
      <c r="K1782" s="107"/>
      <c r="L1782" s="107"/>
      <c r="M1782" s="107"/>
      <c r="N1782" s="107"/>
      <c r="O1782" s="884"/>
      <c r="P1782" s="771"/>
      <c r="Q1782" s="430"/>
      <c r="R1782" s="430"/>
      <c r="S1782" s="430"/>
      <c r="T1782" s="430"/>
      <c r="U1782" s="430"/>
      <c r="V1782" s="430"/>
      <c r="W1782" s="430"/>
      <c r="X1782" s="430"/>
      <c r="Y1782" s="430"/>
    </row>
    <row r="1783" spans="1:25" s="431" customFormat="1" ht="69" customHeight="1">
      <c r="A1783" s="652"/>
      <c r="B1783" s="657"/>
      <c r="C1783" s="580">
        <v>4</v>
      </c>
      <c r="D1783" s="712"/>
      <c r="E1783" s="620" t="s">
        <v>429</v>
      </c>
      <c r="F1783" s="713"/>
      <c r="G1783" s="714"/>
      <c r="H1783" s="714"/>
      <c r="I1783" s="714"/>
      <c r="J1783" s="714"/>
      <c r="K1783" s="567">
        <v>10000</v>
      </c>
      <c r="L1783" s="567">
        <f t="shared" ref="L1783:L1784" si="266">SUM(F1783:K1783)</f>
        <v>10000</v>
      </c>
      <c r="M1783" s="567">
        <v>10000</v>
      </c>
      <c r="N1783" s="567">
        <v>0</v>
      </c>
      <c r="O1783" s="875">
        <v>0</v>
      </c>
      <c r="P1783" s="771" t="s">
        <v>286</v>
      </c>
      <c r="Q1783" s="430"/>
      <c r="R1783" s="430"/>
      <c r="S1783" s="430"/>
      <c r="T1783" s="430"/>
      <c r="U1783" s="430"/>
      <c r="V1783" s="430"/>
      <c r="W1783" s="430"/>
      <c r="X1783" s="430"/>
      <c r="Y1783" s="430"/>
    </row>
    <row r="1784" spans="1:25" s="431" customFormat="1" ht="79.95" customHeight="1">
      <c r="A1784" s="652"/>
      <c r="B1784" s="657"/>
      <c r="C1784" s="580">
        <v>5</v>
      </c>
      <c r="D1784" s="712"/>
      <c r="E1784" s="620" t="s">
        <v>294</v>
      </c>
      <c r="F1784" s="713"/>
      <c r="G1784" s="714"/>
      <c r="H1784" s="714"/>
      <c r="I1784" s="714"/>
      <c r="J1784" s="714"/>
      <c r="K1784" s="567">
        <v>3000</v>
      </c>
      <c r="L1784" s="567">
        <f t="shared" si="266"/>
        <v>3000</v>
      </c>
      <c r="M1784" s="567">
        <v>3000</v>
      </c>
      <c r="N1784" s="567">
        <v>0</v>
      </c>
      <c r="O1784" s="875">
        <v>0</v>
      </c>
      <c r="P1784" s="771" t="s">
        <v>286</v>
      </c>
      <c r="Q1784" s="430"/>
      <c r="R1784" s="430"/>
      <c r="S1784" s="430"/>
      <c r="T1784" s="430"/>
      <c r="U1784" s="430"/>
      <c r="V1784" s="430"/>
      <c r="W1784" s="430"/>
      <c r="X1784" s="430"/>
      <c r="Y1784" s="430"/>
    </row>
    <row r="1785" spans="1:25" s="67" customFormat="1" ht="66.75" customHeight="1">
      <c r="A1785" s="394"/>
      <c r="B1785" s="78">
        <v>92116</v>
      </c>
      <c r="C1785" s="102"/>
      <c r="D1785" s="76"/>
      <c r="E1785" s="75" t="s">
        <v>10</v>
      </c>
      <c r="F1785" s="414">
        <v>0</v>
      </c>
      <c r="G1785" s="95">
        <v>0</v>
      </c>
      <c r="H1785" s="95">
        <v>0</v>
      </c>
      <c r="I1785" s="95">
        <v>0</v>
      </c>
      <c r="J1785" s="95">
        <v>0</v>
      </c>
      <c r="K1785" s="95">
        <f>K1786</f>
        <v>870000</v>
      </c>
      <c r="L1785" s="95">
        <f t="shared" ref="L1785:L1788" si="267">SUM(F1785:K1785)</f>
        <v>870000</v>
      </c>
      <c r="M1785" s="95">
        <f>M1786</f>
        <v>870000</v>
      </c>
      <c r="N1785" s="95">
        <f>N1786</f>
        <v>480000</v>
      </c>
      <c r="O1785" s="868">
        <f>N1785/M1785</f>
        <v>0.55172413793103448</v>
      </c>
      <c r="P1785" s="760" t="s">
        <v>286</v>
      </c>
    </row>
    <row r="1786" spans="1:25" s="97" customFormat="1" ht="63" customHeight="1">
      <c r="A1786" s="394"/>
      <c r="B1786" s="65"/>
      <c r="C1786" s="101">
        <v>1</v>
      </c>
      <c r="D1786" s="100"/>
      <c r="E1786" s="99" t="s">
        <v>9</v>
      </c>
      <c r="F1786" s="533"/>
      <c r="G1786" s="98"/>
      <c r="H1786" s="98"/>
      <c r="I1786" s="98"/>
      <c r="J1786" s="98"/>
      <c r="K1786" s="98">
        <f>900000-15000-15000</f>
        <v>870000</v>
      </c>
      <c r="L1786" s="98">
        <f t="shared" si="267"/>
        <v>870000</v>
      </c>
      <c r="M1786" s="98">
        <v>870000</v>
      </c>
      <c r="N1786" s="98">
        <v>480000</v>
      </c>
      <c r="O1786" s="880">
        <f>N1786/M1786</f>
        <v>0.55172413793103448</v>
      </c>
      <c r="P1786" s="762" t="s">
        <v>286</v>
      </c>
    </row>
    <row r="1787" spans="1:25" s="67" customFormat="1" ht="66.75" customHeight="1">
      <c r="A1787" s="394"/>
      <c r="B1787" s="78">
        <v>92120</v>
      </c>
      <c r="C1787" s="102"/>
      <c r="D1787" s="76"/>
      <c r="E1787" s="75" t="s">
        <v>189</v>
      </c>
      <c r="F1787" s="414">
        <f>F1788</f>
        <v>0</v>
      </c>
      <c r="G1787" s="414">
        <f t="shared" ref="G1787:O1787" si="268">G1788</f>
        <v>0</v>
      </c>
      <c r="H1787" s="414">
        <f t="shared" si="268"/>
        <v>0</v>
      </c>
      <c r="I1787" s="414">
        <f t="shared" si="268"/>
        <v>0</v>
      </c>
      <c r="J1787" s="414">
        <f t="shared" si="268"/>
        <v>0</v>
      </c>
      <c r="K1787" s="414">
        <f t="shared" si="268"/>
        <v>165000</v>
      </c>
      <c r="L1787" s="95">
        <f t="shared" si="268"/>
        <v>165000</v>
      </c>
      <c r="M1787" s="95">
        <f t="shared" si="268"/>
        <v>165000</v>
      </c>
      <c r="N1787" s="95">
        <f t="shared" si="268"/>
        <v>60000</v>
      </c>
      <c r="O1787" s="868">
        <f t="shared" si="268"/>
        <v>0.36363636363636365</v>
      </c>
      <c r="P1787" s="760" t="s">
        <v>286</v>
      </c>
    </row>
    <row r="1788" spans="1:25" s="415" customFormat="1" ht="91.95" customHeight="1">
      <c r="A1788" s="650"/>
      <c r="B1788" s="658"/>
      <c r="C1788" s="565">
        <v>1</v>
      </c>
      <c r="D1788" s="665"/>
      <c r="E1788" s="606" t="s">
        <v>211</v>
      </c>
      <c r="F1788" s="566"/>
      <c r="G1788" s="601"/>
      <c r="H1788" s="601"/>
      <c r="I1788" s="601"/>
      <c r="J1788" s="601"/>
      <c r="K1788" s="601">
        <v>165000</v>
      </c>
      <c r="L1788" s="601">
        <f t="shared" si="267"/>
        <v>165000</v>
      </c>
      <c r="M1788" s="601">
        <v>165000</v>
      </c>
      <c r="N1788" s="601">
        <v>60000</v>
      </c>
      <c r="O1788" s="937">
        <f>N1788/M1788</f>
        <v>0.36363636363636365</v>
      </c>
      <c r="P1788" s="762" t="s">
        <v>286</v>
      </c>
    </row>
    <row r="1789" spans="1:25" s="67" customFormat="1" ht="63.75" customHeight="1">
      <c r="A1789" s="394"/>
      <c r="B1789" s="78">
        <v>92195</v>
      </c>
      <c r="C1789" s="77"/>
      <c r="D1789" s="76"/>
      <c r="E1789" s="75" t="s">
        <v>8</v>
      </c>
      <c r="F1789" s="95">
        <f t="shared" ref="F1789:K1789" si="269">F1790+F1791+F1792+F1793+F1794+F1795+F1796+F1797+F1798+F1803+F1806+F1813+F1814+F1819+F1821+F1823+F1825</f>
        <v>0</v>
      </c>
      <c r="G1789" s="95">
        <f t="shared" si="269"/>
        <v>0</v>
      </c>
      <c r="H1789" s="95">
        <f t="shared" si="269"/>
        <v>1216197</v>
      </c>
      <c r="I1789" s="95">
        <f t="shared" si="269"/>
        <v>0</v>
      </c>
      <c r="J1789" s="95">
        <f t="shared" si="269"/>
        <v>0</v>
      </c>
      <c r="K1789" s="95">
        <f t="shared" si="269"/>
        <v>971472</v>
      </c>
      <c r="L1789" s="95">
        <f>SUM(F1789:K1789)</f>
        <v>2187669</v>
      </c>
      <c r="M1789" s="95">
        <f>M1790+M1791+M1792+M1793+M1794+M1795+M1796+M1797+M1798+M1803+M1806+M1813+M1814+M1819+M1821+M1823+M1825+M1827+M1832+M1834+M1836+M1838</f>
        <v>2198120</v>
      </c>
      <c r="N1789" s="95">
        <f>N1790+N1791+N1792+N1793+N1794+N1795+N1796+N1797+N1798+N1803+N1806+N1813+N1814+N1819+N1821+N1823+N1825+N1827+N1832+N1834+N1836+N1838</f>
        <v>1969634.99</v>
      </c>
      <c r="O1789" s="868">
        <f>N1789/M1789</f>
        <v>0.89605435099084674</v>
      </c>
      <c r="P1789" s="760" t="s">
        <v>286</v>
      </c>
    </row>
    <row r="1790" spans="1:25" s="79" customFormat="1" ht="72.599999999999994" customHeight="1">
      <c r="A1790" s="394"/>
      <c r="B1790" s="91"/>
      <c r="C1790" s="390">
        <v>1</v>
      </c>
      <c r="D1790" s="118"/>
      <c r="E1790" s="404" t="s">
        <v>853</v>
      </c>
      <c r="F1790" s="209"/>
      <c r="G1790" s="456"/>
      <c r="H1790" s="456"/>
      <c r="I1790" s="456"/>
      <c r="J1790" s="456"/>
      <c r="K1790" s="456">
        <v>1500</v>
      </c>
      <c r="L1790" s="456">
        <f t="shared" ref="L1790:L1841" si="270">SUM(F1790:K1790)</f>
        <v>1500</v>
      </c>
      <c r="M1790" s="456">
        <v>150</v>
      </c>
      <c r="N1790" s="456">
        <v>150</v>
      </c>
      <c r="O1790" s="871">
        <f>N1790/M1790</f>
        <v>1</v>
      </c>
      <c r="P1790" s="760" t="s">
        <v>286</v>
      </c>
    </row>
    <row r="1791" spans="1:25" s="79" customFormat="1" ht="117.6" customHeight="1">
      <c r="A1791" s="394"/>
      <c r="B1791" s="402"/>
      <c r="C1791" s="390">
        <v>2</v>
      </c>
      <c r="D1791" s="118"/>
      <c r="E1791" s="404" t="s">
        <v>7</v>
      </c>
      <c r="F1791" s="209"/>
      <c r="G1791" s="209"/>
      <c r="H1791" s="209"/>
      <c r="I1791" s="209"/>
      <c r="J1791" s="209"/>
      <c r="K1791" s="209">
        <v>4000</v>
      </c>
      <c r="L1791" s="456">
        <f>SUM(F1791:K1791)</f>
        <v>4000</v>
      </c>
      <c r="M1791" s="456">
        <v>5100</v>
      </c>
      <c r="N1791" s="456">
        <v>0</v>
      </c>
      <c r="O1791" s="871">
        <v>0</v>
      </c>
      <c r="P1791" s="760" t="s">
        <v>286</v>
      </c>
    </row>
    <row r="1792" spans="1:25" s="79" customFormat="1" ht="90.75" customHeight="1">
      <c r="A1792" s="394"/>
      <c r="B1792" s="91"/>
      <c r="C1792" s="90">
        <v>3</v>
      </c>
      <c r="D1792" s="89"/>
      <c r="E1792" s="120" t="s">
        <v>400</v>
      </c>
      <c r="F1792" s="221"/>
      <c r="G1792" s="87"/>
      <c r="H1792" s="87"/>
      <c r="I1792" s="87"/>
      <c r="J1792" s="87"/>
      <c r="K1792" s="87">
        <v>1800</v>
      </c>
      <c r="L1792" s="87">
        <f t="shared" si="270"/>
        <v>1800</v>
      </c>
      <c r="M1792" s="87">
        <v>1800</v>
      </c>
      <c r="N1792" s="87">
        <v>0</v>
      </c>
      <c r="O1792" s="879">
        <v>0</v>
      </c>
      <c r="P1792" s="760" t="s">
        <v>286</v>
      </c>
    </row>
    <row r="1793" spans="1:16" s="79" customFormat="1" ht="74.25" customHeight="1">
      <c r="A1793" s="394"/>
      <c r="B1793" s="91"/>
      <c r="C1793" s="90">
        <v>4</v>
      </c>
      <c r="D1793" s="89"/>
      <c r="E1793" s="120" t="s">
        <v>401</v>
      </c>
      <c r="F1793" s="221"/>
      <c r="G1793" s="87"/>
      <c r="H1793" s="87"/>
      <c r="I1793" s="87"/>
      <c r="J1793" s="87"/>
      <c r="K1793" s="87">
        <v>3650</v>
      </c>
      <c r="L1793" s="87">
        <f t="shared" ref="L1793" si="271">SUM(F1793:K1793)</f>
        <v>3650</v>
      </c>
      <c r="M1793" s="87">
        <v>3650</v>
      </c>
      <c r="N1793" s="87">
        <v>0</v>
      </c>
      <c r="O1793" s="879">
        <v>0</v>
      </c>
      <c r="P1793" s="760" t="s">
        <v>286</v>
      </c>
    </row>
    <row r="1794" spans="1:16" s="79" customFormat="1" ht="74.25" customHeight="1">
      <c r="A1794" s="394"/>
      <c r="B1794" s="91"/>
      <c r="C1794" s="90">
        <v>5</v>
      </c>
      <c r="D1794" s="89"/>
      <c r="E1794" s="120" t="s">
        <v>297</v>
      </c>
      <c r="F1794" s="221"/>
      <c r="G1794" s="87"/>
      <c r="H1794" s="87"/>
      <c r="I1794" s="87"/>
      <c r="J1794" s="87"/>
      <c r="K1794" s="87">
        <v>5600</v>
      </c>
      <c r="L1794" s="87">
        <f t="shared" ref="L1794" si="272">SUM(F1794:K1794)</f>
        <v>5600</v>
      </c>
      <c r="M1794" s="87">
        <v>5600</v>
      </c>
      <c r="N1794" s="87">
        <v>4779</v>
      </c>
      <c r="O1794" s="879">
        <f>N1794/M1794</f>
        <v>0.85339285714285718</v>
      </c>
      <c r="P1794" s="760" t="s">
        <v>286</v>
      </c>
    </row>
    <row r="1795" spans="1:16" s="79" customFormat="1" ht="84.75" customHeight="1">
      <c r="A1795" s="394"/>
      <c r="B1795" s="91"/>
      <c r="C1795" s="90">
        <v>6</v>
      </c>
      <c r="D1795" s="89"/>
      <c r="E1795" s="120" t="s">
        <v>402</v>
      </c>
      <c r="F1795" s="221"/>
      <c r="G1795" s="87"/>
      <c r="H1795" s="87"/>
      <c r="I1795" s="87"/>
      <c r="J1795" s="87"/>
      <c r="K1795" s="87">
        <v>1700</v>
      </c>
      <c r="L1795" s="87">
        <f t="shared" ref="L1795" si="273">SUM(F1795:K1795)</f>
        <v>1700</v>
      </c>
      <c r="M1795" s="87">
        <v>1700</v>
      </c>
      <c r="N1795" s="87">
        <v>0</v>
      </c>
      <c r="O1795" s="879">
        <v>0</v>
      </c>
      <c r="P1795" s="760" t="s">
        <v>286</v>
      </c>
    </row>
    <row r="1796" spans="1:16" s="79" customFormat="1" ht="61.8" customHeight="1">
      <c r="A1796" s="394"/>
      <c r="B1796" s="91"/>
      <c r="C1796" s="90">
        <v>7</v>
      </c>
      <c r="D1796" s="89"/>
      <c r="E1796" s="120" t="s">
        <v>298</v>
      </c>
      <c r="F1796" s="221"/>
      <c r="G1796" s="87"/>
      <c r="H1796" s="87"/>
      <c r="I1796" s="87"/>
      <c r="J1796" s="87"/>
      <c r="K1796" s="87">
        <v>1000</v>
      </c>
      <c r="L1796" s="87">
        <f t="shared" ref="L1796" si="274">SUM(F1796:K1796)</f>
        <v>1000</v>
      </c>
      <c r="M1796" s="87">
        <v>1000</v>
      </c>
      <c r="N1796" s="87">
        <v>0</v>
      </c>
      <c r="O1796" s="879">
        <v>0</v>
      </c>
      <c r="P1796" s="760" t="s">
        <v>286</v>
      </c>
    </row>
    <row r="1797" spans="1:16" s="79" customFormat="1" ht="84.75" customHeight="1">
      <c r="A1797" s="394"/>
      <c r="B1797" s="91"/>
      <c r="C1797" s="90">
        <v>8</v>
      </c>
      <c r="D1797" s="89"/>
      <c r="E1797" s="120" t="s">
        <v>403</v>
      </c>
      <c r="F1797" s="221"/>
      <c r="G1797" s="87"/>
      <c r="H1797" s="87"/>
      <c r="I1797" s="87"/>
      <c r="J1797" s="87"/>
      <c r="K1797" s="87">
        <v>5100</v>
      </c>
      <c r="L1797" s="87">
        <f t="shared" ref="L1797" si="275">SUM(F1797:K1797)</f>
        <v>5100</v>
      </c>
      <c r="M1797" s="87">
        <v>5100</v>
      </c>
      <c r="N1797" s="87">
        <v>0</v>
      </c>
      <c r="O1797" s="879">
        <v>0</v>
      </c>
      <c r="P1797" s="760" t="s">
        <v>286</v>
      </c>
    </row>
    <row r="1798" spans="1:16" s="415" customFormat="1" ht="55.95" customHeight="1">
      <c r="A1798" s="650"/>
      <c r="B1798" s="662"/>
      <c r="C1798" s="594">
        <v>9</v>
      </c>
      <c r="D1798" s="663"/>
      <c r="E1798" s="664" t="s">
        <v>270</v>
      </c>
      <c r="F1798" s="564"/>
      <c r="G1798" s="564"/>
      <c r="H1798" s="564"/>
      <c r="I1798" s="564"/>
      <c r="J1798" s="564"/>
      <c r="K1798" s="728">
        <v>60000</v>
      </c>
      <c r="L1798" s="563">
        <f>SUM(F1798:K1798)</f>
        <v>60000</v>
      </c>
      <c r="M1798" s="563">
        <v>60000</v>
      </c>
      <c r="N1798" s="563">
        <v>20000</v>
      </c>
      <c r="O1798" s="872">
        <f>N1798/M1798</f>
        <v>0.33333333333333331</v>
      </c>
      <c r="P1798" s="762" t="s">
        <v>286</v>
      </c>
    </row>
    <row r="1799" spans="1:16" s="79" customFormat="1" ht="19.5" customHeight="1">
      <c r="A1799" s="650"/>
      <c r="B1799" s="662"/>
      <c r="C1799" s="692"/>
      <c r="D1799" s="416"/>
      <c r="E1799" s="422" t="s">
        <v>16</v>
      </c>
      <c r="F1799" s="706"/>
      <c r="G1799" s="706"/>
      <c r="H1799" s="706"/>
      <c r="I1799" s="706"/>
      <c r="J1799" s="706"/>
      <c r="K1799" s="729"/>
      <c r="L1799" s="666"/>
      <c r="M1799" s="666"/>
      <c r="N1799" s="666"/>
      <c r="O1799" s="874"/>
      <c r="P1799" s="760"/>
    </row>
    <row r="1800" spans="1:16" s="415" customFormat="1" ht="52.2" customHeight="1">
      <c r="A1800" s="650"/>
      <c r="B1800" s="662"/>
      <c r="C1800" s="692"/>
      <c r="D1800" s="313" t="s">
        <v>3</v>
      </c>
      <c r="E1800" s="422" t="s">
        <v>268</v>
      </c>
      <c r="F1800" s="706"/>
      <c r="G1800" s="706"/>
      <c r="H1800" s="706"/>
      <c r="I1800" s="706"/>
      <c r="J1800" s="706"/>
      <c r="K1800" s="729"/>
      <c r="L1800" s="666"/>
      <c r="M1800" s="666"/>
      <c r="N1800" s="666"/>
      <c r="O1800" s="874"/>
      <c r="P1800" s="762"/>
    </row>
    <row r="1801" spans="1:16" s="79" customFormat="1" ht="73.2" customHeight="1">
      <c r="A1801" s="650"/>
      <c r="B1801" s="662"/>
      <c r="C1801" s="23"/>
      <c r="D1801" s="416" t="s">
        <v>3</v>
      </c>
      <c r="E1801" s="422" t="s">
        <v>269</v>
      </c>
      <c r="F1801" s="706"/>
      <c r="G1801" s="706"/>
      <c r="H1801" s="706"/>
      <c r="I1801" s="706"/>
      <c r="J1801" s="706"/>
      <c r="K1801" s="729"/>
      <c r="L1801" s="666"/>
      <c r="M1801" s="666"/>
      <c r="N1801" s="666"/>
      <c r="O1801" s="874"/>
      <c r="P1801" s="760"/>
    </row>
    <row r="1802" spans="1:16" s="415" customFormat="1" ht="46.8" customHeight="1">
      <c r="A1802" s="693"/>
      <c r="B1802" s="694"/>
      <c r="C1802" s="750"/>
      <c r="D1802" s="447"/>
      <c r="E1802" s="1301" t="s">
        <v>932</v>
      </c>
      <c r="F1802" s="1301"/>
      <c r="G1802" s="1301"/>
      <c r="H1802" s="1301"/>
      <c r="I1802" s="1301"/>
      <c r="J1802" s="1301"/>
      <c r="K1802" s="1301"/>
      <c r="L1802" s="1301"/>
      <c r="M1802" s="1301"/>
      <c r="N1802" s="1301"/>
      <c r="O1802" s="1303"/>
      <c r="P1802" s="762"/>
    </row>
    <row r="1803" spans="1:16" s="415" customFormat="1" ht="98.4" customHeight="1">
      <c r="A1803" s="650"/>
      <c r="B1803" s="662"/>
      <c r="C1803" s="846">
        <v>10</v>
      </c>
      <c r="D1803" s="852"/>
      <c r="E1803" s="664" t="s">
        <v>362</v>
      </c>
      <c r="F1803" s="564"/>
      <c r="G1803" s="564"/>
      <c r="H1803" s="564"/>
      <c r="I1803" s="564"/>
      <c r="J1803" s="564"/>
      <c r="K1803" s="728">
        <v>60000</v>
      </c>
      <c r="L1803" s="563">
        <f>SUM(F1803:K1803)</f>
        <v>60000</v>
      </c>
      <c r="M1803" s="563">
        <v>60000</v>
      </c>
      <c r="N1803" s="563">
        <v>0</v>
      </c>
      <c r="O1803" s="872">
        <v>0</v>
      </c>
      <c r="P1803" s="762" t="s">
        <v>286</v>
      </c>
    </row>
    <row r="1804" spans="1:16" s="415" customFormat="1" ht="55.2" customHeight="1">
      <c r="A1804" s="650"/>
      <c r="B1804" s="662"/>
      <c r="C1804" s="848"/>
      <c r="D1804" s="836"/>
      <c r="E1804" s="1295" t="s">
        <v>371</v>
      </c>
      <c r="F1804" s="1295"/>
      <c r="G1804" s="1295"/>
      <c r="H1804" s="1295"/>
      <c r="I1804" s="1295"/>
      <c r="J1804" s="1295"/>
      <c r="K1804" s="1295"/>
      <c r="L1804" s="1296"/>
      <c r="M1804" s="762"/>
      <c r="N1804" s="762"/>
      <c r="O1804" s="926"/>
      <c r="P1804" s="762"/>
    </row>
    <row r="1805" spans="1:16" s="415" customFormat="1" ht="52.2" customHeight="1">
      <c r="A1805" s="693"/>
      <c r="B1805" s="694"/>
      <c r="C1805" s="750"/>
      <c r="D1805" s="447"/>
      <c r="E1805" s="1301" t="s">
        <v>933</v>
      </c>
      <c r="F1805" s="1301"/>
      <c r="G1805" s="1301"/>
      <c r="H1805" s="1301"/>
      <c r="I1805" s="1301"/>
      <c r="J1805" s="1301"/>
      <c r="K1805" s="1301"/>
      <c r="L1805" s="1301"/>
      <c r="M1805" s="1301"/>
      <c r="N1805" s="1301"/>
      <c r="O1805" s="1302"/>
      <c r="P1805" s="762"/>
    </row>
    <row r="1806" spans="1:16" s="79" customFormat="1" ht="70.95" customHeight="1">
      <c r="A1806" s="650"/>
      <c r="B1806" s="662"/>
      <c r="C1806" s="594">
        <v>11</v>
      </c>
      <c r="D1806" s="655"/>
      <c r="E1806" s="667" t="s">
        <v>369</v>
      </c>
      <c r="F1806" s="668"/>
      <c r="G1806" s="669"/>
      <c r="H1806" s="669"/>
      <c r="I1806" s="669"/>
      <c r="J1806" s="669"/>
      <c r="K1806" s="670">
        <v>50000</v>
      </c>
      <c r="L1806" s="834">
        <f t="shared" ref="L1806" si="276">SUM(F1806:K1806)</f>
        <v>50000</v>
      </c>
      <c r="M1806" s="834">
        <f>M1810+M1811</f>
        <v>50000</v>
      </c>
      <c r="N1806" s="834">
        <f>N1810+N1811</f>
        <v>28880.400000000001</v>
      </c>
      <c r="O1806" s="938">
        <f>N1806/M1806</f>
        <v>0.57760800000000001</v>
      </c>
      <c r="P1806" s="760" t="s">
        <v>286</v>
      </c>
    </row>
    <row r="1807" spans="1:16" s="79" customFormat="1" ht="141.6" customHeight="1">
      <c r="A1807" s="650"/>
      <c r="B1807" s="662"/>
      <c r="C1807" s="837"/>
      <c r="D1807" s="835"/>
      <c r="E1807" s="1350" t="s">
        <v>431</v>
      </c>
      <c r="F1807" s="1350"/>
      <c r="G1807" s="1350"/>
      <c r="H1807" s="1350"/>
      <c r="I1807" s="1350"/>
      <c r="J1807" s="1350"/>
      <c r="K1807" s="1350"/>
      <c r="L1807" s="1352"/>
      <c r="M1807" s="760"/>
      <c r="N1807" s="760"/>
      <c r="O1807" s="1196"/>
      <c r="P1807" s="760"/>
    </row>
    <row r="1808" spans="1:16" s="79" customFormat="1" ht="70.2" customHeight="1">
      <c r="A1808" s="650"/>
      <c r="B1808" s="662"/>
      <c r="C1808" s="692"/>
      <c r="D1808" s="1195"/>
      <c r="E1808" s="1351" t="s">
        <v>934</v>
      </c>
      <c r="F1808" s="1351"/>
      <c r="G1808" s="1351"/>
      <c r="H1808" s="1351"/>
      <c r="I1808" s="1351"/>
      <c r="J1808" s="1351"/>
      <c r="K1808" s="1351"/>
      <c r="L1808" s="1353"/>
      <c r="M1808" s="760"/>
      <c r="N1808" s="760"/>
      <c r="O1808" s="1196"/>
      <c r="P1808" s="760"/>
    </row>
    <row r="1809" spans="1:16" s="415" customFormat="1">
      <c r="A1809" s="650"/>
      <c r="B1809" s="662"/>
      <c r="C1809" s="799"/>
      <c r="D1809" s="800"/>
      <c r="E1809" s="1237" t="s">
        <v>16</v>
      </c>
      <c r="F1809" s="731"/>
      <c r="G1809" s="731"/>
      <c r="H1809" s="731"/>
      <c r="I1809" s="731"/>
      <c r="J1809" s="731"/>
      <c r="K1809" s="731"/>
      <c r="L1809" s="1354"/>
      <c r="M1809" s="656"/>
      <c r="N1809" s="656"/>
      <c r="O1809" s="873"/>
      <c r="P1809" s="762"/>
    </row>
    <row r="1810" spans="1:16" s="415" customFormat="1">
      <c r="A1810" s="650"/>
      <c r="B1810" s="662"/>
      <c r="C1810" s="799"/>
      <c r="D1810" s="800"/>
      <c r="E1810" s="1238" t="s">
        <v>349</v>
      </c>
      <c r="F1810" s="731"/>
      <c r="G1810" s="731"/>
      <c r="H1810" s="731">
        <v>6167</v>
      </c>
      <c r="I1810" s="731"/>
      <c r="J1810" s="731"/>
      <c r="K1810" s="731">
        <f>726+525+2596</f>
        <v>3847</v>
      </c>
      <c r="L1810" s="1354">
        <v>0</v>
      </c>
      <c r="M1810" s="656">
        <f>5000+1500+3500</f>
        <v>10000</v>
      </c>
      <c r="N1810" s="656">
        <v>0</v>
      </c>
      <c r="O1810" s="873"/>
      <c r="P1810" s="762"/>
    </row>
    <row r="1811" spans="1:16" s="415" customFormat="1">
      <c r="A1811" s="650"/>
      <c r="B1811" s="662"/>
      <c r="C1811" s="1062"/>
      <c r="D1811" s="1063"/>
      <c r="E1811" s="1238" t="s">
        <v>350</v>
      </c>
      <c r="F1811" s="731"/>
      <c r="G1811" s="731"/>
      <c r="H1811" s="731">
        <v>1210030</v>
      </c>
      <c r="I1811" s="731"/>
      <c r="J1811" s="731"/>
      <c r="K1811" s="731">
        <f>142310+244850+343365</f>
        <v>730525</v>
      </c>
      <c r="L1811" s="656">
        <v>0</v>
      </c>
      <c r="M1811" s="656">
        <v>40000</v>
      </c>
      <c r="N1811" s="656">
        <v>28880.400000000001</v>
      </c>
      <c r="O1811" s="873"/>
      <c r="P1811" s="762"/>
    </row>
    <row r="1812" spans="1:16" s="415" customFormat="1" ht="52.2" customHeight="1">
      <c r="A1812" s="693"/>
      <c r="B1812" s="694"/>
      <c r="C1812" s="750"/>
      <c r="D1812" s="447"/>
      <c r="E1812" s="1301" t="s">
        <v>795</v>
      </c>
      <c r="F1812" s="1301"/>
      <c r="G1812" s="1301"/>
      <c r="H1812" s="1301"/>
      <c r="I1812" s="1301"/>
      <c r="J1812" s="1301"/>
      <c r="K1812" s="1301"/>
      <c r="L1812" s="1301"/>
      <c r="M1812" s="1301"/>
      <c r="N1812" s="1301"/>
      <c r="O1812" s="1303"/>
      <c r="P1812" s="762"/>
    </row>
    <row r="1813" spans="1:16" s="415" customFormat="1" ht="69.599999999999994" customHeight="1">
      <c r="A1813" s="650"/>
      <c r="B1813" s="662"/>
      <c r="C1813" s="580">
        <v>12</v>
      </c>
      <c r="D1813" s="853"/>
      <c r="E1813" s="830" t="s">
        <v>413</v>
      </c>
      <c r="F1813" s="854"/>
      <c r="G1813" s="854"/>
      <c r="H1813" s="854"/>
      <c r="I1813" s="854"/>
      <c r="J1813" s="854"/>
      <c r="K1813" s="855">
        <v>15000</v>
      </c>
      <c r="L1813" s="567">
        <f t="shared" ref="L1813:L1814" si="277">SUM(F1813:K1813)</f>
        <v>15000</v>
      </c>
      <c r="M1813" s="567">
        <v>0</v>
      </c>
      <c r="N1813" s="567">
        <v>0</v>
      </c>
      <c r="O1813" s="875">
        <v>0</v>
      </c>
      <c r="P1813" s="762" t="s">
        <v>286</v>
      </c>
    </row>
    <row r="1814" spans="1:16" s="415" customFormat="1" ht="69.599999999999994" customHeight="1">
      <c r="A1814" s="650"/>
      <c r="B1814" s="662"/>
      <c r="C1814" s="810">
        <v>13</v>
      </c>
      <c r="D1814" s="811"/>
      <c r="E1814" s="797" t="s">
        <v>323</v>
      </c>
      <c r="F1814" s="588"/>
      <c r="G1814" s="596"/>
      <c r="H1814" s="596">
        <f>SUM(H1816:H1817)</f>
        <v>1216197</v>
      </c>
      <c r="I1814" s="596"/>
      <c r="J1814" s="596"/>
      <c r="K1814" s="596">
        <f>K1816+K1817</f>
        <v>734372</v>
      </c>
      <c r="L1814" s="589">
        <f t="shared" si="277"/>
        <v>1950569</v>
      </c>
      <c r="M1814" s="589">
        <f>SUM(M1816:M1817)</f>
        <v>1950569</v>
      </c>
      <c r="N1814" s="589">
        <f>SUM(N1816:N1817)</f>
        <v>1901333.97</v>
      </c>
      <c r="O1814" s="927">
        <f>N1814/M1814</f>
        <v>0.97475863196841539</v>
      </c>
      <c r="P1814" s="762" t="s">
        <v>286</v>
      </c>
    </row>
    <row r="1815" spans="1:16" s="415" customFormat="1">
      <c r="A1815" s="650"/>
      <c r="B1815" s="662"/>
      <c r="C1815" s="799"/>
      <c r="D1815" s="800"/>
      <c r="E1815" s="226" t="s">
        <v>16</v>
      </c>
      <c r="F1815" s="731"/>
      <c r="G1815" s="731"/>
      <c r="H1815" s="731"/>
      <c r="I1815" s="731"/>
      <c r="J1815" s="731"/>
      <c r="K1815" s="731"/>
      <c r="L1815" s="656"/>
      <c r="M1815" s="656"/>
      <c r="N1815" s="656"/>
      <c r="O1815" s="873"/>
      <c r="P1815" s="762"/>
    </row>
    <row r="1816" spans="1:16" s="415" customFormat="1">
      <c r="A1816" s="650"/>
      <c r="B1816" s="662"/>
      <c r="C1816" s="799"/>
      <c r="D1816" s="800"/>
      <c r="E1816" s="801" t="s">
        <v>349</v>
      </c>
      <c r="F1816" s="731"/>
      <c r="G1816" s="731"/>
      <c r="H1816" s="731">
        <v>6167</v>
      </c>
      <c r="I1816" s="731"/>
      <c r="J1816" s="731"/>
      <c r="K1816" s="731">
        <f>726+525+2596</f>
        <v>3847</v>
      </c>
      <c r="L1816" s="656">
        <f t="shared" ref="L1816:L1817" si="278">F1816+G1816+H1816+I1816+J1816+K1816</f>
        <v>10014</v>
      </c>
      <c r="M1816" s="656">
        <f>2596-1873+6167+1251-11+1873-1873+1427+457</f>
        <v>10014</v>
      </c>
      <c r="N1816" s="656">
        <f>1882.31+3862.2</f>
        <v>5744.51</v>
      </c>
      <c r="O1816" s="873"/>
      <c r="P1816" s="762"/>
    </row>
    <row r="1817" spans="1:16" s="415" customFormat="1">
      <c r="A1817" s="650"/>
      <c r="B1817" s="662"/>
      <c r="C1817" s="1062"/>
      <c r="D1817" s="1063"/>
      <c r="E1817" s="801" t="s">
        <v>350</v>
      </c>
      <c r="F1817" s="731"/>
      <c r="G1817" s="731"/>
      <c r="H1817" s="731">
        <v>1210030</v>
      </c>
      <c r="I1817" s="731"/>
      <c r="J1817" s="731"/>
      <c r="K1817" s="731">
        <f>142310+244850+343365</f>
        <v>730525</v>
      </c>
      <c r="L1817" s="656">
        <f t="shared" si="278"/>
        <v>1940555</v>
      </c>
      <c r="M1817" s="656">
        <f>343365+1210030+387160</f>
        <v>1940555</v>
      </c>
      <c r="N1817" s="656">
        <v>1895589.46</v>
      </c>
      <c r="O1817" s="873"/>
      <c r="P1817" s="762"/>
    </row>
    <row r="1818" spans="1:16" s="415" customFormat="1" ht="72.599999999999994" customHeight="1">
      <c r="A1818" s="693"/>
      <c r="B1818" s="694"/>
      <c r="C1818" s="1064"/>
      <c r="D1818" s="1065"/>
      <c r="E1818" s="1306" t="s">
        <v>935</v>
      </c>
      <c r="F1818" s="1306"/>
      <c r="G1818" s="1306"/>
      <c r="H1818" s="1306"/>
      <c r="I1818" s="1306"/>
      <c r="J1818" s="1306"/>
      <c r="K1818" s="1306"/>
      <c r="L1818" s="1306"/>
      <c r="M1818" s="1306"/>
      <c r="N1818" s="1306"/>
      <c r="O1818" s="1307"/>
      <c r="P1818" s="762"/>
    </row>
    <row r="1819" spans="1:16" s="415" customFormat="1" ht="57.6" customHeight="1">
      <c r="A1819" s="650"/>
      <c r="B1819" s="662"/>
      <c r="C1819" s="692">
        <v>14</v>
      </c>
      <c r="D1819" s="416"/>
      <c r="E1819" s="93" t="s">
        <v>423</v>
      </c>
      <c r="F1819" s="706"/>
      <c r="G1819" s="706"/>
      <c r="H1819" s="706"/>
      <c r="I1819" s="706"/>
      <c r="J1819" s="706"/>
      <c r="K1819" s="729">
        <v>3000</v>
      </c>
      <c r="L1819" s="711">
        <f>SUM(F1819:K1819)</f>
        <v>3000</v>
      </c>
      <c r="M1819" s="711">
        <v>3000</v>
      </c>
      <c r="N1819" s="711">
        <v>3000</v>
      </c>
      <c r="O1819" s="923">
        <f>N1819/M1819</f>
        <v>1</v>
      </c>
      <c r="P1819" s="762" t="s">
        <v>286</v>
      </c>
    </row>
    <row r="1820" spans="1:16" s="415" customFormat="1" ht="50.4" customHeight="1">
      <c r="A1820" s="650"/>
      <c r="B1820" s="662"/>
      <c r="C1820" s="857"/>
      <c r="D1820" s="858"/>
      <c r="E1820" s="1292" t="s">
        <v>424</v>
      </c>
      <c r="F1820" s="1292"/>
      <c r="G1820" s="1292"/>
      <c r="H1820" s="1292"/>
      <c r="I1820" s="1292"/>
      <c r="J1820" s="1292"/>
      <c r="K1820" s="1292"/>
      <c r="L1820" s="1297"/>
      <c r="M1820" s="762"/>
      <c r="N1820" s="762"/>
      <c r="O1820" s="926"/>
      <c r="P1820" s="762"/>
    </row>
    <row r="1821" spans="1:16" s="415" customFormat="1" ht="51" customHeight="1">
      <c r="A1821" s="650"/>
      <c r="B1821" s="662"/>
      <c r="C1821" s="692">
        <v>15</v>
      </c>
      <c r="D1821" s="416"/>
      <c r="E1821" s="93" t="s">
        <v>423</v>
      </c>
      <c r="F1821" s="706"/>
      <c r="G1821" s="706"/>
      <c r="H1821" s="706"/>
      <c r="I1821" s="706"/>
      <c r="J1821" s="706"/>
      <c r="K1821" s="729">
        <v>7750</v>
      </c>
      <c r="L1821" s="589">
        <f>SUM(F1821:K1821)</f>
        <v>7750</v>
      </c>
      <c r="M1821" s="589">
        <v>7750</v>
      </c>
      <c r="N1821" s="589">
        <v>7750</v>
      </c>
      <c r="O1821" s="927">
        <f>N1821/M1821</f>
        <v>1</v>
      </c>
      <c r="P1821" s="762" t="s">
        <v>286</v>
      </c>
    </row>
    <row r="1822" spans="1:16" s="415" customFormat="1" ht="50.4" customHeight="1">
      <c r="A1822" s="650"/>
      <c r="B1822" s="662"/>
      <c r="C1822" s="857"/>
      <c r="D1822" s="858"/>
      <c r="E1822" s="1292" t="s">
        <v>425</v>
      </c>
      <c r="F1822" s="1292"/>
      <c r="G1822" s="1292"/>
      <c r="H1822" s="1292"/>
      <c r="I1822" s="1292"/>
      <c r="J1822" s="1292"/>
      <c r="K1822" s="1292"/>
      <c r="L1822" s="1297"/>
      <c r="M1822" s="762"/>
      <c r="N1822" s="762"/>
      <c r="O1822" s="926"/>
      <c r="P1822" s="762"/>
    </row>
    <row r="1823" spans="1:16" s="415" customFormat="1" ht="61.2" customHeight="1">
      <c r="A1823" s="650"/>
      <c r="B1823" s="662"/>
      <c r="C1823" s="692">
        <v>16</v>
      </c>
      <c r="D1823" s="416"/>
      <c r="E1823" s="93" t="s">
        <v>423</v>
      </c>
      <c r="F1823" s="706"/>
      <c r="G1823" s="706"/>
      <c r="H1823" s="706"/>
      <c r="I1823" s="706"/>
      <c r="J1823" s="706"/>
      <c r="K1823" s="729">
        <v>15000</v>
      </c>
      <c r="L1823" s="589">
        <f>SUM(F1823:K1823)</f>
        <v>15000</v>
      </c>
      <c r="M1823" s="589">
        <v>15000</v>
      </c>
      <c r="N1823" s="589">
        <v>0</v>
      </c>
      <c r="O1823" s="927">
        <v>0</v>
      </c>
      <c r="P1823" s="762" t="s">
        <v>286</v>
      </c>
    </row>
    <row r="1824" spans="1:16" s="415" customFormat="1" ht="50.4" customHeight="1">
      <c r="A1824" s="650"/>
      <c r="B1824" s="662"/>
      <c r="C1824" s="857"/>
      <c r="D1824" s="858"/>
      <c r="E1824" s="1292" t="s">
        <v>426</v>
      </c>
      <c r="F1824" s="1292"/>
      <c r="G1824" s="1292"/>
      <c r="H1824" s="1292"/>
      <c r="I1824" s="1292"/>
      <c r="J1824" s="1292"/>
      <c r="K1824" s="1292"/>
      <c r="L1824" s="1297"/>
      <c r="M1824" s="762"/>
      <c r="N1824" s="762"/>
      <c r="O1824" s="926"/>
      <c r="P1824" s="762"/>
    </row>
    <row r="1825" spans="1:226" s="415" customFormat="1" ht="72" customHeight="1">
      <c r="A1825" s="650"/>
      <c r="B1825" s="662"/>
      <c r="C1825" s="692">
        <v>17</v>
      </c>
      <c r="D1825" s="416"/>
      <c r="E1825" s="93" t="s">
        <v>430</v>
      </c>
      <c r="F1825" s="706"/>
      <c r="G1825" s="706"/>
      <c r="H1825" s="706"/>
      <c r="I1825" s="706"/>
      <c r="J1825" s="706"/>
      <c r="K1825" s="729">
        <v>2000</v>
      </c>
      <c r="L1825" s="589">
        <f>SUM(F1825:K1825)</f>
        <v>2000</v>
      </c>
      <c r="M1825" s="589">
        <v>2000</v>
      </c>
      <c r="N1825" s="589">
        <v>0</v>
      </c>
      <c r="O1825" s="927">
        <v>0</v>
      </c>
      <c r="P1825" s="762" t="s">
        <v>286</v>
      </c>
    </row>
    <row r="1826" spans="1:226" s="415" customFormat="1" ht="50.4" customHeight="1">
      <c r="A1826" s="650"/>
      <c r="B1826" s="662"/>
      <c r="C1826" s="857"/>
      <c r="D1826" s="858"/>
      <c r="E1826" s="1292" t="s">
        <v>854</v>
      </c>
      <c r="F1826" s="1292"/>
      <c r="G1826" s="1292"/>
      <c r="H1826" s="1292"/>
      <c r="I1826" s="1292"/>
      <c r="J1826" s="1292"/>
      <c r="K1826" s="1292"/>
      <c r="L1826" s="1292"/>
      <c r="M1826" s="1292"/>
      <c r="N1826" s="1292"/>
      <c r="O1826" s="1292"/>
      <c r="P1826" s="762"/>
    </row>
    <row r="1827" spans="1:226" s="415" customFormat="1" ht="72" customHeight="1">
      <c r="A1827" s="650"/>
      <c r="B1827" s="662"/>
      <c r="C1827" s="837">
        <v>18</v>
      </c>
      <c r="D1827" s="836"/>
      <c r="E1827" s="93" t="s">
        <v>666</v>
      </c>
      <c r="F1827" s="706"/>
      <c r="G1827" s="706"/>
      <c r="H1827" s="706"/>
      <c r="I1827" s="706"/>
      <c r="J1827" s="706"/>
      <c r="K1827" s="729">
        <v>2000</v>
      </c>
      <c r="L1827" s="589">
        <v>0</v>
      </c>
      <c r="M1827" s="589">
        <f>SUM(M1829:M1830)</f>
        <v>3751</v>
      </c>
      <c r="N1827" s="589">
        <f>SUM(N1829:N1830)</f>
        <v>3741.62</v>
      </c>
      <c r="O1827" s="927">
        <f>N1827/M1827</f>
        <v>0.99749933351106368</v>
      </c>
      <c r="P1827" s="762" t="s">
        <v>286</v>
      </c>
    </row>
    <row r="1828" spans="1:226" s="415" customFormat="1">
      <c r="A1828" s="650"/>
      <c r="B1828" s="662"/>
      <c r="C1828" s="799"/>
      <c r="D1828" s="800"/>
      <c r="E1828" s="1237" t="s">
        <v>16</v>
      </c>
      <c r="F1828" s="731"/>
      <c r="G1828" s="731"/>
      <c r="H1828" s="731"/>
      <c r="I1828" s="731"/>
      <c r="J1828" s="731"/>
      <c r="K1828" s="731"/>
      <c r="L1828" s="656"/>
      <c r="M1828" s="656"/>
      <c r="N1828" s="656"/>
      <c r="O1828" s="873"/>
      <c r="P1828" s="762"/>
    </row>
    <row r="1829" spans="1:226" s="415" customFormat="1">
      <c r="A1829" s="650"/>
      <c r="B1829" s="662"/>
      <c r="C1829" s="799"/>
      <c r="D1829" s="800"/>
      <c r="E1829" s="1238" t="s">
        <v>349</v>
      </c>
      <c r="F1829" s="731"/>
      <c r="G1829" s="731"/>
      <c r="H1829" s="731">
        <v>6167</v>
      </c>
      <c r="I1829" s="731"/>
      <c r="J1829" s="731"/>
      <c r="K1829" s="731">
        <f>726+525+2596</f>
        <v>3847</v>
      </c>
      <c r="L1829" s="656">
        <v>0</v>
      </c>
      <c r="M1829" s="656">
        <v>20</v>
      </c>
      <c r="N1829" s="656">
        <v>11</v>
      </c>
      <c r="O1829" s="873"/>
      <c r="P1829" s="762"/>
    </row>
    <row r="1830" spans="1:226" s="415" customFormat="1">
      <c r="A1830" s="650"/>
      <c r="B1830" s="662"/>
      <c r="C1830" s="1062"/>
      <c r="D1830" s="1063"/>
      <c r="E1830" s="1238" t="s">
        <v>350</v>
      </c>
      <c r="F1830" s="731"/>
      <c r="G1830" s="731"/>
      <c r="H1830" s="731">
        <v>1210030</v>
      </c>
      <c r="I1830" s="731"/>
      <c r="J1830" s="731"/>
      <c r="K1830" s="731">
        <f>142310+244850+343365</f>
        <v>730525</v>
      </c>
      <c r="L1830" s="656">
        <v>0</v>
      </c>
      <c r="M1830" s="656">
        <v>3731</v>
      </c>
      <c r="N1830" s="656">
        <v>3730.62</v>
      </c>
      <c r="O1830" s="873"/>
      <c r="P1830" s="762"/>
    </row>
    <row r="1831" spans="1:226" s="415" customFormat="1" ht="50.4" customHeight="1">
      <c r="A1831" s="650"/>
      <c r="B1831" s="662"/>
      <c r="C1831" s="1066"/>
      <c r="D1831" s="800"/>
      <c r="E1831" s="1298" t="s">
        <v>667</v>
      </c>
      <c r="F1831" s="1298"/>
      <c r="G1831" s="1298"/>
      <c r="H1831" s="1298"/>
      <c r="I1831" s="1298"/>
      <c r="J1831" s="1298"/>
      <c r="K1831" s="1298"/>
      <c r="L1831" s="1298"/>
      <c r="M1831" s="1298"/>
      <c r="N1831" s="1298"/>
      <c r="O1831" s="1298"/>
      <c r="P1831" s="762"/>
    </row>
    <row r="1832" spans="1:226" s="415" customFormat="1" ht="72" customHeight="1">
      <c r="A1832" s="650"/>
      <c r="B1832" s="662"/>
      <c r="C1832" s="594">
        <v>19</v>
      </c>
      <c r="D1832" s="663"/>
      <c r="E1832" s="664" t="s">
        <v>668</v>
      </c>
      <c r="F1832" s="564"/>
      <c r="G1832" s="564"/>
      <c r="H1832" s="564"/>
      <c r="I1832" s="564"/>
      <c r="J1832" s="564"/>
      <c r="K1832" s="728">
        <v>2000</v>
      </c>
      <c r="L1832" s="589">
        <v>0</v>
      </c>
      <c r="M1832" s="589">
        <v>3000</v>
      </c>
      <c r="N1832" s="589">
        <v>0</v>
      </c>
      <c r="O1832" s="927">
        <v>0</v>
      </c>
      <c r="P1832" s="762" t="s">
        <v>286</v>
      </c>
    </row>
    <row r="1833" spans="1:226" s="415" customFormat="1" ht="50.4" customHeight="1">
      <c r="A1833" s="650"/>
      <c r="B1833" s="662"/>
      <c r="C1833" s="1066"/>
      <c r="D1833" s="800"/>
      <c r="E1833" s="1298" t="s">
        <v>669</v>
      </c>
      <c r="F1833" s="1298"/>
      <c r="G1833" s="1298"/>
      <c r="H1833" s="1298"/>
      <c r="I1833" s="1298"/>
      <c r="J1833" s="1298"/>
      <c r="K1833" s="1298"/>
      <c r="L1833" s="1298"/>
      <c r="M1833" s="1298"/>
      <c r="N1833" s="1298"/>
      <c r="O1833" s="1298"/>
      <c r="P1833" s="762"/>
    </row>
    <row r="1834" spans="1:226" s="415" customFormat="1" ht="72" customHeight="1">
      <c r="A1834" s="650"/>
      <c r="B1834" s="662"/>
      <c r="C1834" s="594">
        <v>20</v>
      </c>
      <c r="D1834" s="663"/>
      <c r="E1834" s="664" t="s">
        <v>670</v>
      </c>
      <c r="F1834" s="564"/>
      <c r="G1834" s="564"/>
      <c r="H1834" s="564"/>
      <c r="I1834" s="564"/>
      <c r="J1834" s="564"/>
      <c r="K1834" s="728">
        <v>2000</v>
      </c>
      <c r="L1834" s="589">
        <v>0</v>
      </c>
      <c r="M1834" s="589">
        <v>2000</v>
      </c>
      <c r="N1834" s="589">
        <v>0</v>
      </c>
      <c r="O1834" s="927">
        <v>0</v>
      </c>
      <c r="P1834" s="762" t="s">
        <v>286</v>
      </c>
    </row>
    <row r="1835" spans="1:226" s="415" customFormat="1" ht="50.4" customHeight="1">
      <c r="A1835" s="650"/>
      <c r="B1835" s="662"/>
      <c r="C1835" s="1066"/>
      <c r="D1835" s="800"/>
      <c r="E1835" s="1298" t="s">
        <v>671</v>
      </c>
      <c r="F1835" s="1298"/>
      <c r="G1835" s="1298"/>
      <c r="H1835" s="1298"/>
      <c r="I1835" s="1298"/>
      <c r="J1835" s="1298"/>
      <c r="K1835" s="1298"/>
      <c r="L1835" s="1298"/>
      <c r="M1835" s="1298"/>
      <c r="N1835" s="1298"/>
      <c r="O1835" s="1298"/>
      <c r="P1835" s="762"/>
    </row>
    <row r="1836" spans="1:226" s="415" customFormat="1" ht="72" customHeight="1">
      <c r="A1836" s="650"/>
      <c r="B1836" s="662"/>
      <c r="C1836" s="793">
        <v>21</v>
      </c>
      <c r="D1836" s="852"/>
      <c r="E1836" s="664" t="s">
        <v>672</v>
      </c>
      <c r="F1836" s="564"/>
      <c r="G1836" s="564"/>
      <c r="H1836" s="564"/>
      <c r="I1836" s="564"/>
      <c r="J1836" s="564"/>
      <c r="K1836" s="728">
        <v>2000</v>
      </c>
      <c r="L1836" s="589">
        <v>0</v>
      </c>
      <c r="M1836" s="589">
        <v>15000</v>
      </c>
      <c r="N1836" s="589">
        <v>0</v>
      </c>
      <c r="O1836" s="927">
        <v>0</v>
      </c>
      <c r="P1836" s="762" t="s">
        <v>286</v>
      </c>
    </row>
    <row r="1837" spans="1:226" s="415" customFormat="1" ht="50.4" customHeight="1">
      <c r="A1837" s="650"/>
      <c r="B1837" s="662"/>
      <c r="C1837" s="1066"/>
      <c r="D1837" s="800"/>
      <c r="E1837" s="1298" t="s">
        <v>826</v>
      </c>
      <c r="F1837" s="1298"/>
      <c r="G1837" s="1298"/>
      <c r="H1837" s="1298"/>
      <c r="I1837" s="1298"/>
      <c r="J1837" s="1298"/>
      <c r="K1837" s="1298"/>
      <c r="L1837" s="1298"/>
      <c r="M1837" s="1298"/>
      <c r="N1837" s="1298"/>
      <c r="O1837" s="1298"/>
      <c r="P1837" s="762"/>
    </row>
    <row r="1838" spans="1:226" s="415" customFormat="1" ht="72" customHeight="1">
      <c r="A1838" s="650"/>
      <c r="B1838" s="662"/>
      <c r="C1838" s="594">
        <v>22</v>
      </c>
      <c r="D1838" s="663"/>
      <c r="E1838" s="664" t="s">
        <v>855</v>
      </c>
      <c r="F1838" s="564"/>
      <c r="G1838" s="564"/>
      <c r="H1838" s="564"/>
      <c r="I1838" s="564"/>
      <c r="J1838" s="564"/>
      <c r="K1838" s="728">
        <v>2000</v>
      </c>
      <c r="L1838" s="589">
        <v>0</v>
      </c>
      <c r="M1838" s="589">
        <v>1950</v>
      </c>
      <c r="N1838" s="589">
        <v>0</v>
      </c>
      <c r="O1838" s="927">
        <v>0</v>
      </c>
      <c r="P1838" s="762" t="s">
        <v>286</v>
      </c>
    </row>
    <row r="1839" spans="1:226" s="79" customFormat="1" ht="55.5" customHeight="1">
      <c r="A1839" s="86">
        <v>20</v>
      </c>
      <c r="B1839" s="85">
        <v>926</v>
      </c>
      <c r="C1839" s="84"/>
      <c r="D1839" s="83"/>
      <c r="E1839" s="82" t="s">
        <v>144</v>
      </c>
      <c r="F1839" s="81">
        <f>F1840</f>
        <v>0</v>
      </c>
      <c r="G1839" s="81">
        <f t="shared" ref="G1839:K1839" si="279">G1840</f>
        <v>0</v>
      </c>
      <c r="H1839" s="81">
        <f t="shared" si="279"/>
        <v>0</v>
      </c>
      <c r="I1839" s="81">
        <f t="shared" si="279"/>
        <v>0</v>
      </c>
      <c r="J1839" s="81">
        <f t="shared" si="279"/>
        <v>0</v>
      </c>
      <c r="K1839" s="81">
        <f t="shared" si="279"/>
        <v>26400</v>
      </c>
      <c r="L1839" s="80">
        <f t="shared" ref="L1839:L1840" si="280">SUM(F1839:K1839)</f>
        <v>26400</v>
      </c>
      <c r="M1839" s="80">
        <f>M1840+M1846</f>
        <v>84700</v>
      </c>
      <c r="N1839" s="80">
        <f>N1840+N1846</f>
        <v>12630</v>
      </c>
      <c r="O1839" s="867">
        <f>N1839/M1839</f>
        <v>0.14911452184179458</v>
      </c>
      <c r="P1839" s="760" t="s">
        <v>286</v>
      </c>
    </row>
    <row r="1840" spans="1:226" s="66" customFormat="1" ht="53.25" customHeight="1">
      <c r="A1840" s="394"/>
      <c r="B1840" s="78">
        <v>92605</v>
      </c>
      <c r="C1840" s="77"/>
      <c r="D1840" s="76"/>
      <c r="E1840" s="75" t="s">
        <v>145</v>
      </c>
      <c r="F1840" s="414">
        <f t="shared" ref="F1840:J1840" si="281">SUM(F1841:F1844)</f>
        <v>0</v>
      </c>
      <c r="G1840" s="414">
        <f t="shared" si="281"/>
        <v>0</v>
      </c>
      <c r="H1840" s="414">
        <f t="shared" si="281"/>
        <v>0</v>
      </c>
      <c r="I1840" s="414">
        <f t="shared" si="281"/>
        <v>0</v>
      </c>
      <c r="J1840" s="414">
        <f t="shared" si="281"/>
        <v>0</v>
      </c>
      <c r="K1840" s="414">
        <f>SUM(K1841:K1844)</f>
        <v>26400</v>
      </c>
      <c r="L1840" s="95">
        <f t="shared" si="280"/>
        <v>26400</v>
      </c>
      <c r="M1840" s="95">
        <f>M1841+M1842+M1843+M1844</f>
        <v>24700</v>
      </c>
      <c r="N1840" s="95">
        <f>N1841+N1842+N1843+N1844</f>
        <v>12630</v>
      </c>
      <c r="O1840" s="868">
        <f>N1840/M1840</f>
        <v>0.51133603238866399</v>
      </c>
      <c r="P1840" s="789" t="s">
        <v>286</v>
      </c>
      <c r="DS1840" s="71"/>
      <c r="DT1840" s="70"/>
      <c r="DU1840" s="69"/>
      <c r="DV1840" s="68"/>
      <c r="DW1840" s="68"/>
      <c r="DX1840" s="68"/>
      <c r="DY1840" s="68"/>
      <c r="DZ1840" s="68"/>
      <c r="EA1840" s="68"/>
      <c r="EB1840" s="68"/>
      <c r="EC1840" s="74"/>
      <c r="ED1840" s="73"/>
      <c r="EE1840" s="72"/>
      <c r="EF1840" s="71"/>
      <c r="EG1840" s="70"/>
      <c r="EH1840" s="69"/>
      <c r="EI1840" s="68"/>
      <c r="EJ1840" s="68"/>
      <c r="EK1840" s="68"/>
      <c r="EL1840" s="68"/>
      <c r="EM1840" s="68"/>
      <c r="EN1840" s="68"/>
      <c r="EO1840" s="68"/>
      <c r="EP1840" s="74"/>
      <c r="EQ1840" s="73"/>
      <c r="ER1840" s="72"/>
      <c r="ES1840" s="71"/>
      <c r="ET1840" s="70"/>
      <c r="EU1840" s="69"/>
      <c r="EV1840" s="68"/>
      <c r="EW1840" s="68"/>
      <c r="EX1840" s="68"/>
      <c r="EY1840" s="68"/>
      <c r="EZ1840" s="68"/>
      <c r="FA1840" s="68"/>
      <c r="FB1840" s="68"/>
      <c r="FC1840" s="74"/>
      <c r="FD1840" s="73"/>
      <c r="FE1840" s="72"/>
      <c r="FF1840" s="71"/>
      <c r="FG1840" s="70"/>
      <c r="FH1840" s="69"/>
      <c r="FI1840" s="68"/>
      <c r="FJ1840" s="68"/>
      <c r="FK1840" s="68"/>
      <c r="FL1840" s="68"/>
      <c r="FM1840" s="68"/>
      <c r="FN1840" s="68"/>
      <c r="FO1840" s="68"/>
      <c r="FP1840" s="74"/>
      <c r="FQ1840" s="73"/>
      <c r="FR1840" s="72"/>
      <c r="FS1840" s="71"/>
      <c r="FT1840" s="70"/>
      <c r="FU1840" s="69"/>
      <c r="FV1840" s="68"/>
      <c r="FW1840" s="68"/>
      <c r="FX1840" s="68"/>
      <c r="FY1840" s="68"/>
      <c r="FZ1840" s="68"/>
      <c r="GA1840" s="68"/>
      <c r="GB1840" s="68"/>
      <c r="GC1840" s="74"/>
      <c r="GD1840" s="73"/>
      <c r="GE1840" s="72"/>
      <c r="GF1840" s="71"/>
      <c r="GG1840" s="70"/>
      <c r="GH1840" s="69"/>
      <c r="GI1840" s="68"/>
      <c r="GJ1840" s="68"/>
      <c r="GK1840" s="68"/>
      <c r="GL1840" s="68"/>
      <c r="GM1840" s="68"/>
      <c r="GN1840" s="68"/>
      <c r="GO1840" s="68"/>
      <c r="GP1840" s="74"/>
      <c r="GQ1840" s="73"/>
      <c r="GR1840" s="72"/>
      <c r="GS1840" s="71"/>
      <c r="GT1840" s="70"/>
      <c r="GU1840" s="72"/>
      <c r="GV1840" s="71"/>
      <c r="GW1840" s="70"/>
      <c r="GX1840" s="69"/>
      <c r="GY1840" s="68"/>
      <c r="GZ1840" s="68"/>
      <c r="HA1840" s="68"/>
      <c r="HB1840" s="68"/>
      <c r="HC1840" s="68"/>
      <c r="HD1840" s="68"/>
      <c r="HE1840" s="68"/>
      <c r="HF1840" s="74"/>
      <c r="HG1840" s="73"/>
      <c r="HH1840" s="72"/>
      <c r="HI1840" s="71"/>
      <c r="HJ1840" s="70"/>
      <c r="HK1840" s="69"/>
      <c r="HL1840" s="68"/>
      <c r="HM1840" s="68"/>
      <c r="HN1840" s="68"/>
      <c r="HO1840" s="68"/>
      <c r="HP1840" s="67"/>
      <c r="HQ1840" s="67"/>
      <c r="HR1840" s="67"/>
    </row>
    <row r="1841" spans="1:226" s="56" customFormat="1" ht="49.8" customHeight="1">
      <c r="A1841" s="477"/>
      <c r="B1841" s="65"/>
      <c r="C1841" s="101">
        <v>1</v>
      </c>
      <c r="D1841" s="100"/>
      <c r="E1841" s="122" t="s">
        <v>162</v>
      </c>
      <c r="F1841" s="533"/>
      <c r="G1841" s="98"/>
      <c r="H1841" s="98"/>
      <c r="I1841" s="98"/>
      <c r="J1841" s="98"/>
      <c r="K1841" s="98">
        <v>5000</v>
      </c>
      <c r="L1841" s="98">
        <f t="shared" si="270"/>
        <v>5000</v>
      </c>
      <c r="M1841" s="98">
        <v>3300</v>
      </c>
      <c r="N1841" s="98">
        <v>0</v>
      </c>
      <c r="O1841" s="880">
        <v>0</v>
      </c>
      <c r="P1841" s="790" t="s">
        <v>286</v>
      </c>
      <c r="DS1841" s="59"/>
      <c r="DT1841" s="59"/>
      <c r="DU1841" s="58"/>
      <c r="DV1841" s="57"/>
      <c r="DW1841" s="57"/>
      <c r="DX1841" s="57"/>
      <c r="DY1841" s="57"/>
      <c r="DZ1841" s="57"/>
      <c r="EA1841" s="57"/>
      <c r="EB1841" s="57"/>
      <c r="EC1841" s="62"/>
      <c r="ED1841" s="61"/>
      <c r="EE1841" s="60"/>
      <c r="EF1841" s="59"/>
      <c r="EG1841" s="59"/>
      <c r="EH1841" s="58"/>
      <c r="EI1841" s="57"/>
      <c r="EJ1841" s="57"/>
      <c r="EK1841" s="57"/>
      <c r="EL1841" s="57"/>
      <c r="EM1841" s="57"/>
      <c r="EN1841" s="57"/>
      <c r="EO1841" s="57"/>
      <c r="EP1841" s="62"/>
      <c r="EQ1841" s="61"/>
      <c r="ER1841" s="60"/>
      <c r="ES1841" s="59"/>
      <c r="ET1841" s="59"/>
      <c r="EU1841" s="58"/>
      <c r="EV1841" s="57"/>
      <c r="EW1841" s="57"/>
      <c r="EX1841" s="57"/>
      <c r="EY1841" s="57"/>
      <c r="EZ1841" s="57"/>
      <c r="FA1841" s="57"/>
      <c r="FB1841" s="57"/>
      <c r="FC1841" s="62"/>
      <c r="FD1841" s="61"/>
      <c r="FE1841" s="60"/>
      <c r="FF1841" s="59"/>
      <c r="FG1841" s="59"/>
      <c r="FH1841" s="58"/>
      <c r="FI1841" s="57"/>
      <c r="FJ1841" s="57"/>
      <c r="FK1841" s="57"/>
      <c r="FL1841" s="57"/>
      <c r="FM1841" s="57"/>
      <c r="FN1841" s="57"/>
      <c r="FO1841" s="57"/>
      <c r="FP1841" s="62"/>
      <c r="FQ1841" s="61"/>
      <c r="FR1841" s="60"/>
      <c r="FS1841" s="59"/>
      <c r="FT1841" s="59"/>
      <c r="FU1841" s="58"/>
      <c r="FV1841" s="57"/>
      <c r="FW1841" s="57"/>
      <c r="FX1841" s="57"/>
      <c r="FY1841" s="57"/>
      <c r="FZ1841" s="57"/>
      <c r="GA1841" s="57"/>
      <c r="GB1841" s="57"/>
      <c r="GC1841" s="62"/>
      <c r="GD1841" s="61"/>
      <c r="GE1841" s="60"/>
      <c r="GF1841" s="59"/>
      <c r="GG1841" s="59"/>
      <c r="GH1841" s="58"/>
      <c r="GI1841" s="57"/>
      <c r="GJ1841" s="57"/>
      <c r="GK1841" s="57"/>
      <c r="GL1841" s="57"/>
      <c r="GM1841" s="57"/>
      <c r="GN1841" s="57"/>
      <c r="GO1841" s="57"/>
      <c r="GP1841" s="62"/>
      <c r="GQ1841" s="61"/>
      <c r="GR1841" s="60"/>
      <c r="GS1841" s="59"/>
      <c r="GT1841" s="59"/>
      <c r="GU1841" s="60"/>
      <c r="GV1841" s="59"/>
      <c r="GW1841" s="59"/>
      <c r="GX1841" s="58"/>
      <c r="GY1841" s="57"/>
      <c r="GZ1841" s="57"/>
      <c r="HA1841" s="57"/>
      <c r="HB1841" s="57"/>
      <c r="HC1841" s="57"/>
      <c r="HD1841" s="57"/>
      <c r="HE1841" s="57"/>
      <c r="HF1841" s="62"/>
      <c r="HG1841" s="61"/>
      <c r="HH1841" s="60"/>
      <c r="HI1841" s="59"/>
      <c r="HJ1841" s="59"/>
      <c r="HK1841" s="58"/>
      <c r="HL1841" s="57"/>
      <c r="HM1841" s="57"/>
      <c r="HN1841" s="57"/>
      <c r="HO1841" s="57"/>
    </row>
    <row r="1842" spans="1:226" s="56" customFormat="1" ht="85.2" customHeight="1">
      <c r="A1842" s="477"/>
      <c r="B1842" s="475"/>
      <c r="C1842" s="458">
        <v>2</v>
      </c>
      <c r="D1842" s="459"/>
      <c r="E1842" s="462" t="s">
        <v>417</v>
      </c>
      <c r="F1842" s="525"/>
      <c r="G1842" s="278"/>
      <c r="H1842" s="278"/>
      <c r="I1842" s="278"/>
      <c r="J1842" s="278"/>
      <c r="K1842" s="278">
        <v>5000</v>
      </c>
      <c r="L1842" s="278">
        <f>SUM(F1842:K1842)</f>
        <v>5000</v>
      </c>
      <c r="M1842" s="278">
        <v>5000</v>
      </c>
      <c r="N1842" s="278">
        <v>630</v>
      </c>
      <c r="O1842" s="939">
        <v>0</v>
      </c>
      <c r="P1842" s="790" t="s">
        <v>286</v>
      </c>
      <c r="DS1842" s="59"/>
      <c r="DT1842" s="59"/>
      <c r="DU1842" s="58"/>
      <c r="DV1842" s="57"/>
      <c r="DW1842" s="57"/>
      <c r="DX1842" s="57"/>
      <c r="DY1842" s="57"/>
      <c r="DZ1842" s="57"/>
      <c r="EA1842" s="57"/>
      <c r="EB1842" s="57"/>
      <c r="EC1842" s="62"/>
      <c r="ED1842" s="61"/>
      <c r="EE1842" s="60"/>
      <c r="EF1842" s="59"/>
      <c r="EG1842" s="59"/>
      <c r="EH1842" s="58"/>
      <c r="EI1842" s="57"/>
      <c r="EJ1842" s="57"/>
      <c r="EK1842" s="57"/>
      <c r="EL1842" s="57"/>
      <c r="EM1842" s="57"/>
      <c r="EN1842" s="57"/>
      <c r="EO1842" s="57"/>
      <c r="EP1842" s="62"/>
      <c r="EQ1842" s="61"/>
      <c r="ER1842" s="60"/>
      <c r="ES1842" s="59"/>
      <c r="ET1842" s="59"/>
      <c r="EU1842" s="58"/>
      <c r="EV1842" s="57"/>
      <c r="EW1842" s="57"/>
      <c r="EX1842" s="57"/>
      <c r="EY1842" s="57"/>
      <c r="EZ1842" s="57"/>
      <c r="FA1842" s="57"/>
      <c r="FB1842" s="57"/>
      <c r="FC1842" s="62"/>
      <c r="FD1842" s="61"/>
      <c r="FE1842" s="60"/>
      <c r="FF1842" s="59"/>
      <c r="FG1842" s="59"/>
      <c r="FH1842" s="58"/>
      <c r="FI1842" s="57"/>
      <c r="FJ1842" s="57"/>
      <c r="FK1842" s="57"/>
      <c r="FL1842" s="57"/>
      <c r="FM1842" s="57"/>
      <c r="FN1842" s="57"/>
      <c r="FO1842" s="57"/>
      <c r="FP1842" s="62"/>
      <c r="FQ1842" s="61"/>
      <c r="FR1842" s="60"/>
      <c r="FS1842" s="59"/>
      <c r="FT1842" s="59"/>
      <c r="FU1842" s="58"/>
      <c r="FV1842" s="57"/>
      <c r="FW1842" s="57"/>
      <c r="FX1842" s="57"/>
      <c r="FY1842" s="57"/>
      <c r="FZ1842" s="57"/>
      <c r="GA1842" s="57"/>
      <c r="GB1842" s="57"/>
      <c r="GC1842" s="62"/>
      <c r="GD1842" s="61"/>
      <c r="GE1842" s="60"/>
      <c r="GF1842" s="59"/>
      <c r="GG1842" s="59"/>
      <c r="GH1842" s="58"/>
      <c r="GI1842" s="57"/>
      <c r="GJ1842" s="57"/>
      <c r="GK1842" s="57"/>
      <c r="GL1842" s="57"/>
      <c r="GM1842" s="57"/>
      <c r="GN1842" s="57"/>
      <c r="GO1842" s="57"/>
      <c r="GP1842" s="62"/>
      <c r="GQ1842" s="61"/>
      <c r="GR1842" s="60"/>
      <c r="GS1842" s="59"/>
      <c r="GT1842" s="59"/>
      <c r="GU1842" s="60"/>
      <c r="GV1842" s="59"/>
      <c r="GW1842" s="59"/>
      <c r="GX1842" s="58"/>
      <c r="GY1842" s="57"/>
      <c r="GZ1842" s="57"/>
      <c r="HA1842" s="57"/>
      <c r="HB1842" s="57"/>
      <c r="HC1842" s="57"/>
      <c r="HD1842" s="57"/>
      <c r="HE1842" s="57"/>
      <c r="HF1842" s="62"/>
      <c r="HG1842" s="61"/>
      <c r="HH1842" s="60"/>
      <c r="HI1842" s="59"/>
      <c r="HJ1842" s="59"/>
      <c r="HK1842" s="58"/>
      <c r="HL1842" s="57"/>
      <c r="HM1842" s="57"/>
      <c r="HN1842" s="57"/>
      <c r="HO1842" s="57"/>
    </row>
    <row r="1843" spans="1:226" s="79" customFormat="1" ht="70.8" customHeight="1">
      <c r="A1843" s="394"/>
      <c r="B1843" s="91"/>
      <c r="C1843" s="751">
        <v>3</v>
      </c>
      <c r="D1843" s="752"/>
      <c r="E1843" s="120" t="s">
        <v>404</v>
      </c>
      <c r="F1843" s="221"/>
      <c r="G1843" s="87"/>
      <c r="H1843" s="87"/>
      <c r="I1843" s="87"/>
      <c r="J1843" s="87"/>
      <c r="K1843" s="87">
        <v>4400</v>
      </c>
      <c r="L1843" s="87">
        <f t="shared" ref="L1843" si="282">SUM(F1843:K1843)</f>
        <v>4400</v>
      </c>
      <c r="M1843" s="87">
        <v>4400</v>
      </c>
      <c r="N1843" s="87">
        <v>0</v>
      </c>
      <c r="O1843" s="879">
        <v>0</v>
      </c>
      <c r="P1843" s="760" t="s">
        <v>286</v>
      </c>
    </row>
    <row r="1844" spans="1:226" s="415" customFormat="1" ht="42" customHeight="1">
      <c r="A1844" s="650"/>
      <c r="B1844" s="662"/>
      <c r="C1844" s="810">
        <v>4</v>
      </c>
      <c r="D1844" s="861"/>
      <c r="E1844" s="862" t="s">
        <v>427</v>
      </c>
      <c r="F1844" s="564"/>
      <c r="G1844" s="563"/>
      <c r="H1844" s="563"/>
      <c r="I1844" s="563"/>
      <c r="J1844" s="563"/>
      <c r="K1844" s="563">
        <v>12000</v>
      </c>
      <c r="L1844" s="563">
        <f>SUM(F1844:K1844)</f>
        <v>12000</v>
      </c>
      <c r="M1844" s="563">
        <v>12000</v>
      </c>
      <c r="N1844" s="563">
        <v>12000</v>
      </c>
      <c r="O1844" s="872">
        <f>N1844/M1844</f>
        <v>1</v>
      </c>
      <c r="P1844" s="762" t="s">
        <v>286</v>
      </c>
    </row>
    <row r="1845" spans="1:226" s="79" customFormat="1" ht="57" customHeight="1">
      <c r="A1845" s="650"/>
      <c r="B1845" s="662"/>
      <c r="C1845" s="859"/>
      <c r="D1845" s="860"/>
      <c r="E1845" s="1322" t="s">
        <v>428</v>
      </c>
      <c r="F1845" s="1322"/>
      <c r="G1845" s="1322"/>
      <c r="H1845" s="1322"/>
      <c r="I1845" s="1322"/>
      <c r="J1845" s="1322"/>
      <c r="K1845" s="1322"/>
      <c r="L1845" s="1322"/>
      <c r="M1845" s="1322"/>
      <c r="N1845" s="1322"/>
      <c r="O1845" s="1322"/>
      <c r="P1845" s="760"/>
    </row>
    <row r="1846" spans="1:226" s="66" customFormat="1" ht="53.25" customHeight="1">
      <c r="A1846" s="394"/>
      <c r="B1846" s="78">
        <v>92695</v>
      </c>
      <c r="C1846" s="77"/>
      <c r="D1846" s="76"/>
      <c r="E1846" s="75" t="s">
        <v>8</v>
      </c>
      <c r="F1846" s="414" t="e">
        <f t="shared" ref="F1846:J1846" si="283">SUM(F1847:F1851)</f>
        <v>#REF!</v>
      </c>
      <c r="G1846" s="414" t="e">
        <f t="shared" si="283"/>
        <v>#REF!</v>
      </c>
      <c r="H1846" s="414" t="e">
        <f t="shared" si="283"/>
        <v>#REF!</v>
      </c>
      <c r="I1846" s="414" t="e">
        <f t="shared" si="283"/>
        <v>#REF!</v>
      </c>
      <c r="J1846" s="414" t="e">
        <f t="shared" si="283"/>
        <v>#REF!</v>
      </c>
      <c r="K1846" s="414" t="e">
        <f>SUM(K1847:K1851)</f>
        <v>#REF!</v>
      </c>
      <c r="L1846" s="95">
        <f>L1847</f>
        <v>0</v>
      </c>
      <c r="M1846" s="95">
        <f>M1847</f>
        <v>60000</v>
      </c>
      <c r="N1846" s="95">
        <f>N1847</f>
        <v>0</v>
      </c>
      <c r="O1846" s="868">
        <v>0</v>
      </c>
      <c r="P1846" s="789" t="s">
        <v>286</v>
      </c>
      <c r="DS1846" s="71"/>
      <c r="DT1846" s="70"/>
      <c r="DU1846" s="69"/>
      <c r="DV1846" s="68"/>
      <c r="DW1846" s="68"/>
      <c r="DX1846" s="68"/>
      <c r="DY1846" s="68"/>
      <c r="DZ1846" s="68"/>
      <c r="EA1846" s="68"/>
      <c r="EB1846" s="68"/>
      <c r="EC1846" s="74"/>
      <c r="ED1846" s="73"/>
      <c r="EE1846" s="72"/>
      <c r="EF1846" s="71"/>
      <c r="EG1846" s="70"/>
      <c r="EH1846" s="69"/>
      <c r="EI1846" s="68"/>
      <c r="EJ1846" s="68"/>
      <c r="EK1846" s="68"/>
      <c r="EL1846" s="68"/>
      <c r="EM1846" s="68"/>
      <c r="EN1846" s="68"/>
      <c r="EO1846" s="68"/>
      <c r="EP1846" s="74"/>
      <c r="EQ1846" s="73"/>
      <c r="ER1846" s="72"/>
      <c r="ES1846" s="71"/>
      <c r="ET1846" s="70"/>
      <c r="EU1846" s="69"/>
      <c r="EV1846" s="68"/>
      <c r="EW1846" s="68"/>
      <c r="EX1846" s="68"/>
      <c r="EY1846" s="68"/>
      <c r="EZ1846" s="68"/>
      <c r="FA1846" s="68"/>
      <c r="FB1846" s="68"/>
      <c r="FC1846" s="74"/>
      <c r="FD1846" s="73"/>
      <c r="FE1846" s="72"/>
      <c r="FF1846" s="71"/>
      <c r="FG1846" s="70"/>
      <c r="FH1846" s="69"/>
      <c r="FI1846" s="68"/>
      <c r="FJ1846" s="68"/>
      <c r="FK1846" s="68"/>
      <c r="FL1846" s="68"/>
      <c r="FM1846" s="68"/>
      <c r="FN1846" s="68"/>
      <c r="FO1846" s="68"/>
      <c r="FP1846" s="74"/>
      <c r="FQ1846" s="73"/>
      <c r="FR1846" s="72"/>
      <c r="FS1846" s="71"/>
      <c r="FT1846" s="70"/>
      <c r="FU1846" s="69"/>
      <c r="FV1846" s="68"/>
      <c r="FW1846" s="68"/>
      <c r="FX1846" s="68"/>
      <c r="FY1846" s="68"/>
      <c r="FZ1846" s="68"/>
      <c r="GA1846" s="68"/>
      <c r="GB1846" s="68"/>
      <c r="GC1846" s="74"/>
      <c r="GD1846" s="73"/>
      <c r="GE1846" s="72"/>
      <c r="GF1846" s="71"/>
      <c r="GG1846" s="70"/>
      <c r="GH1846" s="69"/>
      <c r="GI1846" s="68"/>
      <c r="GJ1846" s="68"/>
      <c r="GK1846" s="68"/>
      <c r="GL1846" s="68"/>
      <c r="GM1846" s="68"/>
      <c r="GN1846" s="68"/>
      <c r="GO1846" s="68"/>
      <c r="GP1846" s="74"/>
      <c r="GQ1846" s="73"/>
      <c r="GR1846" s="72"/>
      <c r="GS1846" s="71"/>
      <c r="GT1846" s="70"/>
      <c r="GU1846" s="72"/>
      <c r="GV1846" s="71"/>
      <c r="GW1846" s="70"/>
      <c r="GX1846" s="69"/>
      <c r="GY1846" s="68"/>
      <c r="GZ1846" s="68"/>
      <c r="HA1846" s="68"/>
      <c r="HB1846" s="68"/>
      <c r="HC1846" s="68"/>
      <c r="HD1846" s="68"/>
      <c r="HE1846" s="68"/>
      <c r="HF1846" s="74"/>
      <c r="HG1846" s="73"/>
      <c r="HH1846" s="72"/>
      <c r="HI1846" s="71"/>
      <c r="HJ1846" s="70"/>
      <c r="HK1846" s="69"/>
      <c r="HL1846" s="68"/>
      <c r="HM1846" s="68"/>
      <c r="HN1846" s="68"/>
      <c r="HO1846" s="68"/>
      <c r="HP1846" s="67"/>
      <c r="HQ1846" s="67"/>
      <c r="HR1846" s="67"/>
    </row>
    <row r="1847" spans="1:226" s="56" customFormat="1" ht="69.599999999999994" customHeight="1">
      <c r="A1847" s="477"/>
      <c r="B1847" s="65"/>
      <c r="C1847" s="1244">
        <v>1</v>
      </c>
      <c r="D1847" s="1245"/>
      <c r="E1847" s="122" t="s">
        <v>673</v>
      </c>
      <c r="F1847" s="533"/>
      <c r="G1847" s="98"/>
      <c r="H1847" s="98"/>
      <c r="I1847" s="98"/>
      <c r="J1847" s="98"/>
      <c r="K1847" s="98">
        <v>5000</v>
      </c>
      <c r="L1847" s="98">
        <v>0</v>
      </c>
      <c r="M1847" s="98">
        <v>60000</v>
      </c>
      <c r="N1847" s="98">
        <v>0</v>
      </c>
      <c r="O1847" s="880">
        <v>0</v>
      </c>
      <c r="P1847" s="790" t="s">
        <v>286</v>
      </c>
      <c r="DS1847" s="59"/>
      <c r="DT1847" s="59"/>
      <c r="DU1847" s="58"/>
      <c r="DV1847" s="57"/>
      <c r="DW1847" s="57"/>
      <c r="DX1847" s="57"/>
      <c r="DY1847" s="57"/>
      <c r="DZ1847" s="57"/>
      <c r="EA1847" s="57"/>
      <c r="EB1847" s="57"/>
      <c r="EC1847" s="62"/>
      <c r="ED1847" s="61"/>
      <c r="EE1847" s="60"/>
      <c r="EF1847" s="59"/>
      <c r="EG1847" s="59"/>
      <c r="EH1847" s="58"/>
      <c r="EI1847" s="57"/>
      <c r="EJ1847" s="57"/>
      <c r="EK1847" s="57"/>
      <c r="EL1847" s="57"/>
      <c r="EM1847" s="57"/>
      <c r="EN1847" s="57"/>
      <c r="EO1847" s="57"/>
      <c r="EP1847" s="62"/>
      <c r="EQ1847" s="61"/>
      <c r="ER1847" s="60"/>
      <c r="ES1847" s="59"/>
      <c r="ET1847" s="59"/>
      <c r="EU1847" s="58"/>
      <c r="EV1847" s="57"/>
      <c r="EW1847" s="57"/>
      <c r="EX1847" s="57"/>
      <c r="EY1847" s="57"/>
      <c r="EZ1847" s="57"/>
      <c r="FA1847" s="57"/>
      <c r="FB1847" s="57"/>
      <c r="FC1847" s="62"/>
      <c r="FD1847" s="61"/>
      <c r="FE1847" s="60"/>
      <c r="FF1847" s="59"/>
      <c r="FG1847" s="59"/>
      <c r="FH1847" s="58"/>
      <c r="FI1847" s="57"/>
      <c r="FJ1847" s="57"/>
      <c r="FK1847" s="57"/>
      <c r="FL1847" s="57"/>
      <c r="FM1847" s="57"/>
      <c r="FN1847" s="57"/>
      <c r="FO1847" s="57"/>
      <c r="FP1847" s="62"/>
      <c r="FQ1847" s="61"/>
      <c r="FR1847" s="60"/>
      <c r="FS1847" s="59"/>
      <c r="FT1847" s="59"/>
      <c r="FU1847" s="58"/>
      <c r="FV1847" s="57"/>
      <c r="FW1847" s="57"/>
      <c r="FX1847" s="57"/>
      <c r="FY1847" s="57"/>
      <c r="FZ1847" s="57"/>
      <c r="GA1847" s="57"/>
      <c r="GB1847" s="57"/>
      <c r="GC1847" s="62"/>
      <c r="GD1847" s="61"/>
      <c r="GE1847" s="60"/>
      <c r="GF1847" s="59"/>
      <c r="GG1847" s="59"/>
      <c r="GH1847" s="58"/>
      <c r="GI1847" s="57"/>
      <c r="GJ1847" s="57"/>
      <c r="GK1847" s="57"/>
      <c r="GL1847" s="57"/>
      <c r="GM1847" s="57"/>
      <c r="GN1847" s="57"/>
      <c r="GO1847" s="57"/>
      <c r="GP1847" s="62"/>
      <c r="GQ1847" s="61"/>
      <c r="GR1847" s="60"/>
      <c r="GS1847" s="59"/>
      <c r="GT1847" s="59"/>
      <c r="GU1847" s="60"/>
      <c r="GV1847" s="59"/>
      <c r="GW1847" s="59"/>
      <c r="GX1847" s="58"/>
      <c r="GY1847" s="57"/>
      <c r="GZ1847" s="57"/>
      <c r="HA1847" s="57"/>
      <c r="HB1847" s="57"/>
      <c r="HC1847" s="57"/>
      <c r="HD1847" s="57"/>
      <c r="HE1847" s="57"/>
      <c r="HF1847" s="62"/>
      <c r="HG1847" s="61"/>
      <c r="HH1847" s="60"/>
      <c r="HI1847" s="59"/>
      <c r="HJ1847" s="59"/>
      <c r="HK1847" s="58"/>
      <c r="HL1847" s="57"/>
      <c r="HM1847" s="57"/>
      <c r="HN1847" s="57"/>
      <c r="HO1847" s="57"/>
    </row>
    <row r="1848" spans="1:226" s="56" customFormat="1" ht="46.8" customHeight="1" thickBot="1">
      <c r="A1848" s="824"/>
      <c r="B1848" s="1207"/>
      <c r="C1848" s="1362"/>
      <c r="D1848" s="1355"/>
      <c r="E1848" s="1247" t="s">
        <v>894</v>
      </c>
      <c r="F1848" s="660"/>
      <c r="G1848" s="660"/>
      <c r="H1848" s="660"/>
      <c r="I1848" s="660"/>
      <c r="J1848" s="660"/>
      <c r="K1848" s="660"/>
      <c r="L1848" s="660"/>
      <c r="M1848" s="660"/>
      <c r="N1848" s="660"/>
      <c r="O1848" s="1356"/>
      <c r="P1848" s="790"/>
      <c r="DS1848" s="1357"/>
      <c r="DT1848" s="1357"/>
      <c r="DU1848" s="1358"/>
      <c r="DV1848" s="1359"/>
      <c r="DW1848" s="1359"/>
      <c r="DX1848" s="1359"/>
      <c r="DY1848" s="1359"/>
      <c r="DZ1848" s="1359"/>
      <c r="EA1848" s="1359"/>
      <c r="EB1848" s="1359"/>
      <c r="EC1848" s="1360"/>
      <c r="ED1848" s="1361"/>
      <c r="EE1848" s="1357"/>
      <c r="EF1848" s="1357"/>
      <c r="EG1848" s="1357"/>
      <c r="EH1848" s="1358"/>
      <c r="EI1848" s="1359"/>
      <c r="EJ1848" s="1359"/>
      <c r="EK1848" s="1359"/>
      <c r="EL1848" s="1359"/>
      <c r="EM1848" s="1359"/>
      <c r="EN1848" s="1359"/>
      <c r="EO1848" s="1359"/>
      <c r="EP1848" s="1360"/>
      <c r="EQ1848" s="1361"/>
      <c r="ER1848" s="1357"/>
      <c r="ES1848" s="1357"/>
      <c r="ET1848" s="1357"/>
      <c r="EU1848" s="1358"/>
      <c r="EV1848" s="1359"/>
      <c r="EW1848" s="1359"/>
      <c r="EX1848" s="1359"/>
      <c r="EY1848" s="1359"/>
      <c r="EZ1848" s="1359"/>
      <c r="FA1848" s="1359"/>
      <c r="FB1848" s="1359"/>
      <c r="FC1848" s="1360"/>
      <c r="FD1848" s="1361"/>
      <c r="FE1848" s="1357"/>
      <c r="FF1848" s="1357"/>
      <c r="FG1848" s="1357"/>
      <c r="FH1848" s="1358"/>
      <c r="FI1848" s="1359"/>
      <c r="FJ1848" s="1359"/>
      <c r="FK1848" s="1359"/>
      <c r="FL1848" s="1359"/>
      <c r="FM1848" s="1359"/>
      <c r="FN1848" s="1359"/>
      <c r="FO1848" s="1359"/>
      <c r="FP1848" s="1360"/>
      <c r="FQ1848" s="1361"/>
      <c r="FR1848" s="1357"/>
      <c r="FS1848" s="1357"/>
      <c r="FT1848" s="1357"/>
      <c r="FU1848" s="1358"/>
      <c r="FV1848" s="1359"/>
      <c r="FW1848" s="1359"/>
      <c r="FX1848" s="1359"/>
      <c r="FY1848" s="1359"/>
      <c r="FZ1848" s="1359"/>
      <c r="GA1848" s="1359"/>
      <c r="GB1848" s="1359"/>
      <c r="GC1848" s="1360"/>
      <c r="GD1848" s="1361"/>
      <c r="GE1848" s="1357"/>
      <c r="GF1848" s="1357"/>
      <c r="GG1848" s="1357"/>
      <c r="GH1848" s="1358"/>
      <c r="GI1848" s="1359"/>
      <c r="GJ1848" s="1359"/>
      <c r="GK1848" s="1359"/>
      <c r="GL1848" s="1359"/>
      <c r="GM1848" s="1359"/>
      <c r="GN1848" s="1359"/>
      <c r="GO1848" s="1359"/>
      <c r="GP1848" s="1360"/>
      <c r="GQ1848" s="1361"/>
      <c r="GR1848" s="1357"/>
      <c r="GS1848" s="1357"/>
      <c r="GT1848" s="1357"/>
      <c r="GU1848" s="1357"/>
      <c r="GV1848" s="1357"/>
      <c r="GW1848" s="1357"/>
      <c r="GX1848" s="1358"/>
      <c r="GY1848" s="1359"/>
      <c r="GZ1848" s="1359"/>
      <c r="HA1848" s="1359"/>
      <c r="HB1848" s="1359"/>
      <c r="HC1848" s="1359"/>
      <c r="HD1848" s="1359"/>
      <c r="HE1848" s="1359"/>
      <c r="HF1848" s="1360"/>
      <c r="HG1848" s="1361"/>
      <c r="HH1848" s="1357"/>
      <c r="HI1848" s="1357"/>
      <c r="HJ1848" s="1357"/>
      <c r="HK1848" s="1358"/>
      <c r="HL1848" s="1359"/>
      <c r="HM1848" s="1359"/>
      <c r="HN1848" s="1359"/>
      <c r="HO1848" s="1359"/>
    </row>
    <row r="1849" spans="1:226" s="51" customFormat="1" ht="65.25" customHeight="1" thickTop="1" thickBot="1">
      <c r="A1849" s="433"/>
      <c r="B1849" s="549"/>
      <c r="C1849" s="550"/>
      <c r="D1849" s="551"/>
      <c r="E1849" s="552" t="s">
        <v>6</v>
      </c>
      <c r="F1849" s="553" t="e">
        <f>F3+F10+F101+F144+F173+F177+F310+F315+F322+F374+F377+F381+F1322+F1359+F1475+F1484+F1584+F1674+F1769+F1839</f>
        <v>#REF!</v>
      </c>
      <c r="G1849" s="553" t="e">
        <f>G3+G10+G101+G144+G173+G177+G310+G315+G322+G374+G377+G381+G1322+G1359+G1475+G1484+G1584+G1674+G1769+G1839</f>
        <v>#REF!</v>
      </c>
      <c r="H1849" s="553" t="e">
        <f>H3+H10+H101+H144+H173+H177+H310+H315+H322+H374+H377+H381+H1322+H1359+H1475+H1484+H1584+H1674+H1769+H1839</f>
        <v>#REF!</v>
      </c>
      <c r="I1849" s="553" t="e">
        <f>I3+I10+I101+I144+I173+I177+I310+I315+I322+I374+I377+I381+I1322+I1359+I1475+I1484+I1584+I1674+I1769+I1839</f>
        <v>#REF!</v>
      </c>
      <c r="J1849" s="553" t="e">
        <f>J3+J10+J101+J144+J173+J177+J310+J315+J322+J374+J377+J381+J1322+J1359+J1475+J1484+J1584+J1674+J1769+J1839</f>
        <v>#REF!</v>
      </c>
      <c r="K1849" s="553" t="e">
        <f>K3+K10+K101+K144+K173+K177+K310+K315+K322+K374+K377+K381+K1322+K1359+K1475+K1484+K1584+K1674+K1769+K1839</f>
        <v>#REF!</v>
      </c>
      <c r="L1849" s="553">
        <f>L3+L10+L101+L144+L173+L177+L310+L315+L322+L374+L377+L381+L1322+L1359+L1475+L1484+L1584+L1674+L1769+L1839</f>
        <v>107112000.00000001</v>
      </c>
      <c r="M1849" s="553">
        <f>M3+M10+M101+M144+M173+M177+M310+M315+M322+M374+M377+M381+M1322+M1359+M1475+M1484+M1584+M1674+M1769+M1839</f>
        <v>111156359.62</v>
      </c>
      <c r="N1849" s="553">
        <f>N3+N10+N101+N144+N173+N177+N310+N315+N322+N374+N377+N381+N1322+N1359+N1475+N1484+N1584+N1674+N1769+N1839</f>
        <v>51789054.860000007</v>
      </c>
      <c r="O1849" s="940">
        <f>N1849/M1849</f>
        <v>0.46591175742932273</v>
      </c>
      <c r="P1849" s="776" t="s">
        <v>286</v>
      </c>
    </row>
    <row r="1850" spans="1:226" s="51" customFormat="1" ht="65.25" customHeight="1" thickTop="1">
      <c r="A1850" s="405"/>
      <c r="B1850" s="55"/>
      <c r="C1850" s="54"/>
      <c r="D1850" s="53"/>
      <c r="E1850" s="52" t="s">
        <v>5</v>
      </c>
      <c r="F1850" s="534">
        <f>F1851+F1852+F1853+F1854</f>
        <v>0</v>
      </c>
      <c r="G1850" s="534">
        <f>G1851+G1852+G1853+G1854</f>
        <v>0</v>
      </c>
      <c r="H1850" s="534">
        <f>H1851+H1852+H1853+H1854</f>
        <v>0</v>
      </c>
      <c r="I1850" s="534">
        <f>I1851+I1852+I1853+I1854</f>
        <v>0</v>
      </c>
      <c r="J1850" s="534">
        <f>J1851+J1852+J1853+J1854</f>
        <v>0</v>
      </c>
      <c r="K1850" s="534">
        <f>K1851+K1852+K1853+K1854</f>
        <v>3329854.37</v>
      </c>
      <c r="L1850" s="613">
        <f t="shared" ref="L1850:L1851" si="284">SUM(F1850:K1850)</f>
        <v>3329854.37</v>
      </c>
      <c r="M1850" s="613">
        <f>M1851+M1852+M1853+M1854</f>
        <v>3329853.7700000005</v>
      </c>
      <c r="N1850" s="613">
        <f>N1851+N1852+N1853+N1854</f>
        <v>1781094.59</v>
      </c>
      <c r="O1850" s="941">
        <f>N1850/M1850</f>
        <v>0.53488672867457476</v>
      </c>
      <c r="P1850" s="776" t="s">
        <v>286</v>
      </c>
    </row>
    <row r="1851" spans="1:226" s="38" customFormat="1" ht="71.25" customHeight="1">
      <c r="A1851" s="405"/>
      <c r="B1851" s="624"/>
      <c r="C1851" s="50">
        <v>1</v>
      </c>
      <c r="D1851" s="49"/>
      <c r="E1851" s="48" t="s">
        <v>197</v>
      </c>
      <c r="F1851" s="535"/>
      <c r="G1851" s="47"/>
      <c r="H1851" s="47"/>
      <c r="I1851" s="47"/>
      <c r="J1851" s="46"/>
      <c r="K1851" s="45">
        <f>146245.6+300000+300000+300000</f>
        <v>1046245.6</v>
      </c>
      <c r="L1851" s="45">
        <f t="shared" si="284"/>
        <v>1046245.6</v>
      </c>
      <c r="M1851" s="45">
        <v>1046245</v>
      </c>
      <c r="N1851" s="45">
        <f>446245.6</f>
        <v>446245.6</v>
      </c>
      <c r="O1851" s="942">
        <f>N1851/M1851</f>
        <v>0.42652113032798245</v>
      </c>
      <c r="P1851" s="787" t="s">
        <v>286</v>
      </c>
    </row>
    <row r="1852" spans="1:226" s="44" customFormat="1" ht="71.25" customHeight="1">
      <c r="A1852" s="405"/>
      <c r="B1852" s="624"/>
      <c r="C1852" s="685">
        <v>2</v>
      </c>
      <c r="D1852" s="49"/>
      <c r="E1852" s="48" t="s">
        <v>250</v>
      </c>
      <c r="F1852" s="535"/>
      <c r="G1852" s="535"/>
      <c r="H1852" s="535"/>
      <c r="I1852" s="535"/>
      <c r="J1852" s="686"/>
      <c r="K1852" s="687">
        <f>100000+88759.78</f>
        <v>188759.78</v>
      </c>
      <c r="L1852" s="45">
        <f>SUM(F1852:K1852)</f>
        <v>188759.78</v>
      </c>
      <c r="M1852" s="45">
        <v>188759.78</v>
      </c>
      <c r="N1852" s="45">
        <v>0</v>
      </c>
      <c r="O1852" s="942">
        <v>0</v>
      </c>
      <c r="P1852" s="780" t="s">
        <v>286</v>
      </c>
    </row>
    <row r="1853" spans="1:226" s="44" customFormat="1" ht="71.25" customHeight="1">
      <c r="A1853" s="405"/>
      <c r="B1853" s="624"/>
      <c r="C1853" s="685">
        <v>3</v>
      </c>
      <c r="D1853" s="49"/>
      <c r="E1853" s="48" t="s">
        <v>249</v>
      </c>
      <c r="F1853" s="535"/>
      <c r="G1853" s="535"/>
      <c r="H1853" s="535"/>
      <c r="I1853" s="535"/>
      <c r="J1853" s="686"/>
      <c r="K1853" s="687">
        <v>1900000</v>
      </c>
      <c r="L1853" s="45">
        <f>SUM(F1853:K1853)</f>
        <v>1900000</v>
      </c>
      <c r="M1853" s="45">
        <v>1900000</v>
      </c>
      <c r="N1853" s="45">
        <v>1140000</v>
      </c>
      <c r="O1853" s="942">
        <f>N1853/M1853</f>
        <v>0.6</v>
      </c>
      <c r="P1853" s="780" t="s">
        <v>286</v>
      </c>
    </row>
    <row r="1854" spans="1:226" s="44" customFormat="1" ht="71.25" customHeight="1" thickBot="1">
      <c r="A1854" s="405"/>
      <c r="B1854" s="624"/>
      <c r="C1854" s="685">
        <v>4</v>
      </c>
      <c r="D1854" s="49"/>
      <c r="E1854" s="48" t="s">
        <v>330</v>
      </c>
      <c r="F1854" s="535"/>
      <c r="G1854" s="535"/>
      <c r="H1854" s="535"/>
      <c r="I1854" s="535"/>
      <c r="J1854" s="686"/>
      <c r="K1854" s="687">
        <v>194848.99</v>
      </c>
      <c r="L1854" s="45">
        <f>SUM(F1854:K1854)</f>
        <v>194848.99</v>
      </c>
      <c r="M1854" s="45">
        <v>194848.99</v>
      </c>
      <c r="N1854" s="45">
        <v>194848.99</v>
      </c>
      <c r="O1854" s="942">
        <f>N1854/M1854</f>
        <v>1</v>
      </c>
      <c r="P1854" s="780" t="s">
        <v>286</v>
      </c>
    </row>
    <row r="1855" spans="1:226" s="38" customFormat="1" ht="66.75" customHeight="1">
      <c r="A1855" s="43"/>
      <c r="B1855" s="42"/>
      <c r="C1855" s="41"/>
      <c r="D1855" s="40"/>
      <c r="E1855" s="39" t="s">
        <v>4</v>
      </c>
      <c r="F1855" s="536" t="e">
        <f t="shared" ref="F1855:L1855" si="285">F1849+F1850</f>
        <v>#REF!</v>
      </c>
      <c r="G1855" s="536" t="e">
        <f t="shared" si="285"/>
        <v>#REF!</v>
      </c>
      <c r="H1855" s="536" t="e">
        <f t="shared" si="285"/>
        <v>#REF!</v>
      </c>
      <c r="I1855" s="536" t="e">
        <f t="shared" si="285"/>
        <v>#REF!</v>
      </c>
      <c r="J1855" s="536" t="e">
        <f t="shared" si="285"/>
        <v>#REF!</v>
      </c>
      <c r="K1855" s="536" t="e">
        <f t="shared" si="285"/>
        <v>#REF!</v>
      </c>
      <c r="L1855" s="536">
        <f t="shared" si="285"/>
        <v>110441854.37000002</v>
      </c>
      <c r="M1855" s="536">
        <f t="shared" ref="M1855:N1855" si="286">M1849+M1850</f>
        <v>114486213.39</v>
      </c>
      <c r="N1855" s="536">
        <f t="shared" si="286"/>
        <v>53570149.45000001</v>
      </c>
      <c r="O1855" s="943">
        <f>N1855/M1855</f>
        <v>0.46791790787517817</v>
      </c>
      <c r="P1855" s="787"/>
    </row>
    <row r="1856" spans="1:226" s="27" customFormat="1" ht="23.25" customHeight="1">
      <c r="A1856" s="644"/>
      <c r="B1856" s="32"/>
      <c r="C1856" s="30"/>
      <c r="D1856" s="29"/>
      <c r="E1856" s="31"/>
      <c r="F1856" s="28"/>
      <c r="G1856" s="28"/>
      <c r="H1856" s="28"/>
      <c r="I1856" s="28"/>
      <c r="J1856" s="28"/>
      <c r="K1856" s="28"/>
      <c r="L1856" s="28"/>
      <c r="M1856" s="28"/>
      <c r="N1856" s="28"/>
      <c r="O1856" s="944"/>
      <c r="P1856" s="791"/>
    </row>
    <row r="1857" spans="1:16" s="33" customFormat="1" ht="78" customHeight="1">
      <c r="A1857" s="645"/>
      <c r="B1857" s="37"/>
      <c r="C1857" s="36"/>
      <c r="D1857" s="35" t="s">
        <v>3</v>
      </c>
      <c r="E1857" s="1294" t="s">
        <v>2</v>
      </c>
      <c r="F1857" s="1294"/>
      <c r="G1857" s="1294"/>
      <c r="H1857" s="1294"/>
      <c r="I1857" s="34"/>
      <c r="J1857" s="34"/>
      <c r="K1857" s="34"/>
      <c r="L1857" s="34"/>
      <c r="M1857" s="34"/>
      <c r="N1857" s="34"/>
      <c r="O1857" s="945"/>
      <c r="P1857" s="791"/>
    </row>
    <row r="1858" spans="1:16" s="33" customFormat="1" ht="78" customHeight="1">
      <c r="A1858" s="645"/>
      <c r="B1858" s="719"/>
      <c r="C1858" s="36"/>
      <c r="D1858" s="35" t="s">
        <v>3</v>
      </c>
      <c r="E1858" s="1294" t="s">
        <v>257</v>
      </c>
      <c r="F1858" s="1294"/>
      <c r="G1858" s="1294"/>
      <c r="H1858" s="1294"/>
      <c r="I1858" s="34"/>
      <c r="J1858" s="34"/>
      <c r="K1858" s="34"/>
      <c r="L1858" s="34"/>
      <c r="M1858" s="34"/>
      <c r="N1858" s="34"/>
      <c r="O1858" s="945"/>
      <c r="P1858" s="791"/>
    </row>
    <row r="1859" spans="1:16" s="33" customFormat="1" ht="78" customHeight="1">
      <c r="A1859" s="645"/>
      <c r="B1859" s="726"/>
      <c r="C1859" s="36"/>
      <c r="D1859" s="35" t="s">
        <v>3</v>
      </c>
      <c r="E1859" s="1294" t="s">
        <v>258</v>
      </c>
      <c r="F1859" s="1294"/>
      <c r="G1859" s="1294"/>
      <c r="H1859" s="1294"/>
      <c r="I1859" s="34"/>
      <c r="J1859" s="34"/>
      <c r="K1859" s="34"/>
      <c r="L1859" s="34"/>
      <c r="M1859" s="34"/>
      <c r="N1859" s="34"/>
      <c r="O1859" s="945"/>
      <c r="P1859" s="791"/>
    </row>
    <row r="1860" spans="1:16" s="27" customFormat="1" ht="78" customHeight="1">
      <c r="A1860" s="644"/>
      <c r="B1860" s="849"/>
      <c r="C1860" s="30"/>
      <c r="D1860" s="29" t="s">
        <v>3</v>
      </c>
      <c r="E1860" s="1294" t="s">
        <v>363</v>
      </c>
      <c r="F1860" s="1294"/>
      <c r="G1860" s="1294"/>
      <c r="H1860" s="1294"/>
      <c r="I1860" s="28"/>
      <c r="J1860" s="28"/>
      <c r="K1860" s="28"/>
      <c r="L1860" s="28"/>
      <c r="M1860" s="28"/>
      <c r="N1860" s="28"/>
      <c r="O1860" s="944"/>
      <c r="P1860" s="791"/>
    </row>
    <row r="1861" spans="1:16" s="27" customFormat="1" ht="23.25" customHeight="1">
      <c r="A1861" s="832"/>
      <c r="B1861" s="32"/>
      <c r="C1861" s="452"/>
      <c r="D1861" s="29"/>
      <c r="E1861" s="31"/>
      <c r="F1861" s="28"/>
      <c r="G1861" s="28"/>
      <c r="H1861" s="28"/>
      <c r="I1861" s="28"/>
      <c r="J1861" s="28"/>
      <c r="K1861" s="28"/>
      <c r="L1861" s="28"/>
      <c r="M1861" s="28"/>
      <c r="N1861" s="28"/>
      <c r="O1861" s="944"/>
      <c r="P1861" s="791"/>
    </row>
    <row r="1862" spans="1:16" s="27" customFormat="1" ht="44.4" customHeight="1">
      <c r="A1862" s="644"/>
      <c r="B1862" s="26" t="s">
        <v>1</v>
      </c>
      <c r="C1862" s="30"/>
      <c r="D1862" s="29"/>
      <c r="E1862" s="25">
        <f>[4]Dochody!$H$467</f>
        <v>104378000</v>
      </c>
      <c r="F1862" s="1293" t="s">
        <v>390</v>
      </c>
      <c r="G1862" s="1293"/>
      <c r="H1862" s="28"/>
      <c r="I1862" s="28"/>
      <c r="J1862" s="28"/>
      <c r="K1862" s="28"/>
      <c r="L1862" s="28"/>
      <c r="M1862" s="28"/>
      <c r="N1862" s="28"/>
      <c r="O1862" s="944"/>
      <c r="P1862" s="791"/>
    </row>
    <row r="1863" spans="1:16" s="21" customFormat="1" ht="48" customHeight="1">
      <c r="A1863" s="646"/>
      <c r="B1863" s="26" t="s">
        <v>0</v>
      </c>
      <c r="C1863" s="23"/>
      <c r="D1863" s="20"/>
      <c r="E1863" s="25">
        <f>E1862-L1855</f>
        <v>-6063854.3700000197</v>
      </c>
      <c r="F1863" s="844" t="s">
        <v>387</v>
      </c>
      <c r="G1863" s="844">
        <v>4798715.4400000004</v>
      </c>
      <c r="H1863" s="13"/>
      <c r="I1863" s="13"/>
      <c r="J1863" s="13"/>
      <c r="K1863" s="13"/>
      <c r="L1863" s="22"/>
      <c r="M1863" s="22"/>
      <c r="N1863" s="22"/>
      <c r="O1863" s="946"/>
      <c r="P1863" s="972"/>
    </row>
    <row r="1864" spans="1:16" s="21" customFormat="1" ht="66.599999999999994" customHeight="1">
      <c r="A1864" s="646"/>
      <c r="B1864" s="24"/>
      <c r="C1864" s="23"/>
      <c r="D1864" s="20"/>
      <c r="E1864" s="19"/>
      <c r="F1864" s="844" t="s">
        <v>388</v>
      </c>
      <c r="G1864" s="844">
        <v>1265138.93</v>
      </c>
      <c r="H1864" s="13"/>
      <c r="I1864" s="13"/>
      <c r="J1864" s="13"/>
      <c r="K1864" s="13"/>
      <c r="L1864" s="22"/>
      <c r="M1864" s="22"/>
      <c r="N1864" s="22"/>
      <c r="O1864" s="946"/>
      <c r="P1864" s="972"/>
    </row>
    <row r="1865" spans="1:16" s="21" customFormat="1">
      <c r="A1865" s="646"/>
      <c r="B1865" s="24"/>
      <c r="C1865" s="23"/>
      <c r="D1865" s="20"/>
      <c r="E1865" s="19"/>
      <c r="F1865" s="13"/>
      <c r="G1865" s="845">
        <f>G1863+G1864</f>
        <v>6063854.3700000001</v>
      </c>
      <c r="H1865" s="13"/>
      <c r="I1865" s="13">
        <f>E1863+G1865</f>
        <v>-1.9557774066925049E-8</v>
      </c>
      <c r="J1865" s="13"/>
      <c r="K1865" s="13"/>
      <c r="L1865" s="22"/>
      <c r="M1865" s="22"/>
      <c r="N1865" s="22"/>
      <c r="O1865" s="946"/>
      <c r="P1865" s="972"/>
    </row>
    <row r="1866" spans="1:16" s="18" customFormat="1">
      <c r="A1866" s="646"/>
      <c r="B1866" s="24"/>
      <c r="C1866" s="23"/>
      <c r="D1866" s="20"/>
      <c r="E1866" s="19"/>
      <c r="F1866" s="13"/>
      <c r="G1866" s="13"/>
      <c r="H1866" s="13"/>
      <c r="I1866" s="13"/>
      <c r="J1866" s="13"/>
      <c r="K1866" s="13"/>
      <c r="L1866" s="22"/>
      <c r="M1866" s="22"/>
      <c r="N1866" s="22"/>
      <c r="O1866" s="946"/>
      <c r="P1866" s="973"/>
    </row>
    <row r="1867" spans="1:16" s="10" customFormat="1">
      <c r="A1867" s="647"/>
      <c r="B1867" s="24"/>
      <c r="C1867" s="23"/>
      <c r="D1867" s="14"/>
      <c r="E1867" s="17"/>
      <c r="F1867" s="13"/>
      <c r="G1867" s="13"/>
      <c r="H1867" s="13"/>
      <c r="I1867" s="13"/>
      <c r="J1867" s="13"/>
      <c r="K1867" s="13"/>
      <c r="L1867" s="22"/>
      <c r="M1867" s="22"/>
      <c r="N1867" s="22"/>
      <c r="O1867" s="946"/>
      <c r="P1867" s="974"/>
    </row>
    <row r="1868" spans="1:16" s="10" customFormat="1">
      <c r="A1868" s="647"/>
      <c r="B1868" s="24"/>
      <c r="C1868" s="23"/>
      <c r="D1868" s="14"/>
      <c r="E1868" s="17"/>
      <c r="F1868" s="13"/>
      <c r="G1868" s="13"/>
      <c r="H1868" s="13"/>
      <c r="I1868" s="13"/>
      <c r="J1868" s="13"/>
      <c r="K1868" s="13"/>
      <c r="L1868" s="22"/>
      <c r="M1868" s="22"/>
      <c r="N1868" s="22"/>
      <c r="O1868" s="946"/>
      <c r="P1868" s="974"/>
    </row>
    <row r="1869" spans="1:16" s="10" customFormat="1">
      <c r="A1869" s="647"/>
      <c r="B1869" s="24"/>
      <c r="C1869" s="23"/>
      <c r="D1869" s="14"/>
      <c r="E1869" s="17"/>
      <c r="F1869" s="13"/>
      <c r="G1869" s="13"/>
      <c r="H1869" s="13"/>
      <c r="I1869" s="13"/>
      <c r="J1869" s="13"/>
      <c r="K1869" s="13"/>
      <c r="L1869" s="22"/>
      <c r="M1869" s="22"/>
      <c r="N1869" s="22"/>
      <c r="O1869" s="946"/>
      <c r="P1869" s="974"/>
    </row>
    <row r="1870" spans="1:16" s="10" customFormat="1">
      <c r="A1870" s="647"/>
      <c r="B1870" s="24"/>
      <c r="C1870" s="23"/>
      <c r="D1870" s="14"/>
      <c r="E1870" s="17"/>
      <c r="F1870" s="13"/>
      <c r="G1870" s="13"/>
      <c r="H1870" s="13"/>
      <c r="I1870" s="13"/>
      <c r="J1870" s="13"/>
      <c r="K1870" s="13"/>
      <c r="L1870" s="22"/>
      <c r="M1870" s="22"/>
      <c r="N1870" s="22"/>
      <c r="O1870" s="946"/>
      <c r="P1870" s="974"/>
    </row>
    <row r="1871" spans="1:16" s="10" customFormat="1">
      <c r="A1871" s="647"/>
      <c r="B1871" s="24"/>
      <c r="C1871" s="23"/>
      <c r="D1871" s="14"/>
      <c r="E1871" s="17"/>
      <c r="F1871" s="13"/>
      <c r="G1871" s="13"/>
      <c r="H1871" s="13"/>
      <c r="I1871" s="13"/>
      <c r="J1871" s="13"/>
      <c r="K1871" s="13"/>
      <c r="L1871" s="22"/>
      <c r="M1871" s="22"/>
      <c r="N1871" s="22"/>
      <c r="O1871" s="946"/>
      <c r="P1871" s="974"/>
    </row>
    <row r="1872" spans="1:16" s="10" customFormat="1">
      <c r="A1872" s="647"/>
      <c r="B1872" s="24"/>
      <c r="C1872" s="23"/>
      <c r="D1872" s="14"/>
      <c r="E1872" s="17"/>
      <c r="F1872" s="13"/>
      <c r="G1872" s="13"/>
      <c r="H1872" s="13"/>
      <c r="I1872" s="13"/>
      <c r="J1872" s="13"/>
      <c r="K1872" s="13"/>
      <c r="L1872" s="22"/>
      <c r="M1872" s="22"/>
      <c r="N1872" s="22"/>
      <c r="O1872" s="946"/>
      <c r="P1872" s="974"/>
    </row>
    <row r="1873" spans="1:16" s="10" customFormat="1">
      <c r="A1873" s="647"/>
      <c r="B1873" s="24"/>
      <c r="C1873" s="23"/>
      <c r="D1873" s="14"/>
      <c r="E1873" s="17"/>
      <c r="F1873" s="13"/>
      <c r="G1873" s="13"/>
      <c r="H1873" s="13"/>
      <c r="I1873" s="13"/>
      <c r="J1873" s="13"/>
      <c r="K1873" s="13"/>
      <c r="L1873" s="22"/>
      <c r="M1873" s="22"/>
      <c r="N1873" s="22"/>
      <c r="O1873" s="946"/>
      <c r="P1873" s="974"/>
    </row>
    <row r="1874" spans="1:16" s="10" customFormat="1">
      <c r="A1874" s="647"/>
      <c r="B1874" s="24"/>
      <c r="C1874" s="23"/>
      <c r="D1874" s="14"/>
      <c r="E1874" s="17"/>
      <c r="F1874" s="13"/>
      <c r="G1874" s="13"/>
      <c r="H1874" s="13"/>
      <c r="I1874" s="13"/>
      <c r="J1874" s="13"/>
      <c r="K1874" s="13"/>
      <c r="L1874" s="22"/>
      <c r="M1874" s="22"/>
      <c r="N1874" s="22"/>
      <c r="O1874" s="946"/>
      <c r="P1874" s="974"/>
    </row>
    <row r="1875" spans="1:16" s="10" customFormat="1">
      <c r="A1875" s="647"/>
      <c r="B1875" s="24"/>
      <c r="C1875" s="23"/>
      <c r="D1875" s="14"/>
      <c r="E1875" s="17"/>
      <c r="F1875" s="13"/>
      <c r="G1875" s="13"/>
      <c r="H1875" s="13"/>
      <c r="I1875" s="13"/>
      <c r="J1875" s="13"/>
      <c r="K1875" s="13"/>
      <c r="L1875" s="22"/>
      <c r="M1875" s="22"/>
      <c r="N1875" s="22"/>
      <c r="O1875" s="946"/>
      <c r="P1875" s="974"/>
    </row>
    <row r="1876" spans="1:16" s="10" customFormat="1">
      <c r="A1876" s="647"/>
      <c r="B1876" s="24"/>
      <c r="C1876" s="23"/>
      <c r="D1876" s="14"/>
      <c r="E1876" s="17"/>
      <c r="F1876" s="13"/>
      <c r="G1876" s="13"/>
      <c r="H1876" s="13"/>
      <c r="I1876" s="13"/>
      <c r="J1876" s="13"/>
      <c r="K1876" s="13"/>
      <c r="L1876" s="22"/>
      <c r="M1876" s="22"/>
      <c r="N1876" s="22"/>
      <c r="O1876" s="946"/>
      <c r="P1876" s="974"/>
    </row>
    <row r="1877" spans="1:16" s="10" customFormat="1">
      <c r="A1877" s="647"/>
      <c r="B1877" s="24"/>
      <c r="C1877" s="23"/>
      <c r="D1877" s="14"/>
      <c r="E1877" s="17"/>
      <c r="F1877" s="13"/>
      <c r="G1877" s="13"/>
      <c r="H1877" s="13"/>
      <c r="I1877" s="13"/>
      <c r="J1877" s="13"/>
      <c r="K1877" s="13"/>
      <c r="L1877" s="22"/>
      <c r="M1877" s="22"/>
      <c r="N1877" s="22"/>
      <c r="O1877" s="946"/>
      <c r="P1877" s="974"/>
    </row>
    <row r="1878" spans="1:16" s="10" customFormat="1">
      <c r="A1878" s="647"/>
      <c r="B1878" s="24"/>
      <c r="C1878" s="23"/>
      <c r="D1878" s="14"/>
      <c r="E1878" s="17"/>
      <c r="F1878" s="13"/>
      <c r="G1878" s="13"/>
      <c r="H1878" s="13"/>
      <c r="I1878" s="13"/>
      <c r="J1878" s="13"/>
      <c r="K1878" s="13"/>
      <c r="L1878" s="22"/>
      <c r="M1878" s="22"/>
      <c r="N1878" s="22"/>
      <c r="O1878" s="946"/>
      <c r="P1878" s="974"/>
    </row>
    <row r="1879" spans="1:16" s="10" customFormat="1">
      <c r="A1879" s="647"/>
      <c r="B1879" s="24"/>
      <c r="C1879" s="23"/>
      <c r="D1879" s="14"/>
      <c r="E1879" s="17"/>
      <c r="F1879" s="13"/>
      <c r="G1879" s="13"/>
      <c r="H1879" s="13"/>
      <c r="I1879" s="13"/>
      <c r="J1879" s="13"/>
      <c r="K1879" s="13"/>
      <c r="L1879" s="22"/>
      <c r="M1879" s="22"/>
      <c r="N1879" s="22"/>
      <c r="O1879" s="946"/>
      <c r="P1879" s="974"/>
    </row>
    <row r="1880" spans="1:16" s="10" customFormat="1">
      <c r="A1880" s="647"/>
      <c r="B1880" s="24"/>
      <c r="C1880" s="23"/>
      <c r="D1880" s="14"/>
      <c r="E1880" s="17"/>
      <c r="F1880" s="13"/>
      <c r="G1880" s="13"/>
      <c r="H1880" s="13"/>
      <c r="I1880" s="13"/>
      <c r="J1880" s="13"/>
      <c r="K1880" s="13"/>
      <c r="L1880" s="22"/>
      <c r="M1880" s="22"/>
      <c r="N1880" s="22"/>
      <c r="O1880" s="946"/>
      <c r="P1880" s="974"/>
    </row>
    <row r="1881" spans="1:16" s="10" customFormat="1">
      <c r="A1881" s="647"/>
      <c r="B1881" s="24"/>
      <c r="C1881" s="23"/>
      <c r="D1881" s="14"/>
      <c r="E1881" s="17"/>
      <c r="F1881" s="13"/>
      <c r="G1881" s="13"/>
      <c r="H1881" s="13"/>
      <c r="I1881" s="13"/>
      <c r="J1881" s="13"/>
      <c r="K1881" s="13"/>
      <c r="L1881" s="22"/>
      <c r="M1881" s="22"/>
      <c r="N1881" s="22"/>
      <c r="O1881" s="946"/>
      <c r="P1881" s="974"/>
    </row>
    <row r="1882" spans="1:16" s="10" customFormat="1">
      <c r="A1882" s="647"/>
      <c r="B1882" s="24"/>
      <c r="C1882" s="23"/>
      <c r="D1882" s="14"/>
      <c r="E1882" s="17"/>
      <c r="F1882" s="13"/>
      <c r="G1882" s="13"/>
      <c r="H1882" s="13"/>
      <c r="I1882" s="13"/>
      <c r="J1882" s="13"/>
      <c r="K1882" s="13"/>
      <c r="L1882" s="22"/>
      <c r="M1882" s="22"/>
      <c r="N1882" s="22"/>
      <c r="O1882" s="946"/>
      <c r="P1882" s="974"/>
    </row>
    <row r="1883" spans="1:16" s="10" customFormat="1">
      <c r="A1883" s="647"/>
      <c r="B1883" s="24"/>
      <c r="C1883" s="23"/>
      <c r="D1883" s="14"/>
      <c r="E1883" s="17"/>
      <c r="F1883" s="13"/>
      <c r="G1883" s="13"/>
      <c r="H1883" s="13"/>
      <c r="I1883" s="13"/>
      <c r="J1883" s="13"/>
      <c r="K1883" s="13"/>
      <c r="L1883" s="22"/>
      <c r="M1883" s="22"/>
      <c r="N1883" s="22"/>
      <c r="O1883" s="946"/>
      <c r="P1883" s="974"/>
    </row>
    <row r="1884" spans="1:16" s="10" customFormat="1">
      <c r="A1884" s="647"/>
      <c r="B1884" s="24"/>
      <c r="C1884" s="23"/>
      <c r="D1884" s="14"/>
      <c r="E1884" s="17"/>
      <c r="F1884" s="13"/>
      <c r="G1884" s="13"/>
      <c r="H1884" s="13"/>
      <c r="I1884" s="13"/>
      <c r="J1884" s="13"/>
      <c r="K1884" s="13"/>
      <c r="L1884" s="22"/>
      <c r="M1884" s="22"/>
      <c r="N1884" s="22"/>
      <c r="O1884" s="946"/>
      <c r="P1884" s="974"/>
    </row>
    <row r="1885" spans="1:16" s="10" customFormat="1">
      <c r="A1885" s="647"/>
      <c r="B1885" s="24"/>
      <c r="C1885" s="23"/>
      <c r="D1885" s="14"/>
      <c r="E1885" s="17"/>
      <c r="F1885" s="13"/>
      <c r="G1885" s="13"/>
      <c r="H1885" s="13"/>
      <c r="I1885" s="13"/>
      <c r="J1885" s="13"/>
      <c r="K1885" s="13"/>
      <c r="L1885" s="22"/>
      <c r="M1885" s="22"/>
      <c r="N1885" s="22"/>
      <c r="O1885" s="946"/>
      <c r="P1885" s="974"/>
    </row>
    <row r="1886" spans="1:16" s="10" customFormat="1">
      <c r="A1886" s="647"/>
      <c r="B1886" s="24"/>
      <c r="C1886" s="23"/>
      <c r="D1886" s="14"/>
      <c r="E1886" s="17"/>
      <c r="F1886" s="13"/>
      <c r="G1886" s="13"/>
      <c r="H1886" s="13"/>
      <c r="I1886" s="13"/>
      <c r="J1886" s="13"/>
      <c r="K1886" s="13"/>
      <c r="L1886" s="22"/>
      <c r="M1886" s="22"/>
      <c r="N1886" s="22"/>
      <c r="O1886" s="946"/>
      <c r="P1886" s="974"/>
    </row>
    <row r="1887" spans="1:16" s="10" customFormat="1">
      <c r="A1887" s="647"/>
      <c r="B1887" s="24"/>
      <c r="C1887" s="23"/>
      <c r="D1887" s="14"/>
      <c r="E1887" s="17"/>
      <c r="F1887" s="13"/>
      <c r="G1887" s="13"/>
      <c r="H1887" s="13"/>
      <c r="I1887" s="13"/>
      <c r="J1887" s="13"/>
      <c r="K1887" s="13"/>
      <c r="L1887" s="22"/>
      <c r="M1887" s="22"/>
      <c r="N1887" s="22"/>
      <c r="O1887" s="946"/>
      <c r="P1887" s="974"/>
    </row>
    <row r="1888" spans="1:16" s="10" customFormat="1">
      <c r="A1888" s="647"/>
      <c r="B1888" s="24"/>
      <c r="C1888" s="23"/>
      <c r="D1888" s="14"/>
      <c r="E1888" s="17"/>
      <c r="F1888" s="13"/>
      <c r="G1888" s="13"/>
      <c r="H1888" s="13"/>
      <c r="I1888" s="13"/>
      <c r="J1888" s="13"/>
      <c r="K1888" s="13"/>
      <c r="L1888" s="22"/>
      <c r="M1888" s="22"/>
      <c r="N1888" s="22"/>
      <c r="O1888" s="946"/>
      <c r="P1888" s="974"/>
    </row>
    <row r="1889" spans="1:16" s="10" customFormat="1">
      <c r="A1889" s="647"/>
      <c r="B1889" s="24"/>
      <c r="C1889" s="23"/>
      <c r="D1889" s="14"/>
      <c r="E1889" s="17"/>
      <c r="F1889" s="13"/>
      <c r="G1889" s="13"/>
      <c r="H1889" s="13"/>
      <c r="I1889" s="13"/>
      <c r="J1889" s="13"/>
      <c r="K1889" s="13"/>
      <c r="L1889" s="22"/>
      <c r="M1889" s="22"/>
      <c r="N1889" s="22"/>
      <c r="O1889" s="946"/>
      <c r="P1889" s="974"/>
    </row>
    <row r="1890" spans="1:16" s="10" customFormat="1">
      <c r="A1890" s="647"/>
      <c r="B1890" s="24"/>
      <c r="C1890" s="23"/>
      <c r="D1890" s="14"/>
      <c r="E1890" s="17"/>
      <c r="F1890" s="13"/>
      <c r="G1890" s="13"/>
      <c r="H1890" s="13"/>
      <c r="I1890" s="13"/>
      <c r="J1890" s="13"/>
      <c r="K1890" s="13"/>
      <c r="L1890" s="22"/>
      <c r="M1890" s="22"/>
      <c r="N1890" s="22"/>
      <c r="O1890" s="946"/>
      <c r="P1890" s="974"/>
    </row>
    <row r="1891" spans="1:16" s="10" customFormat="1">
      <c r="A1891" s="647"/>
      <c r="B1891" s="24"/>
      <c r="C1891" s="23"/>
      <c r="D1891" s="14"/>
      <c r="E1891" s="17"/>
      <c r="F1891" s="13"/>
      <c r="G1891" s="13"/>
      <c r="H1891" s="13"/>
      <c r="I1891" s="13"/>
      <c r="J1891" s="13"/>
      <c r="K1891" s="13"/>
      <c r="L1891" s="22"/>
      <c r="M1891" s="22"/>
      <c r="N1891" s="22"/>
      <c r="O1891" s="946"/>
      <c r="P1891" s="974"/>
    </row>
    <row r="1892" spans="1:16" s="10" customFormat="1">
      <c r="A1892" s="647"/>
      <c r="B1892" s="24"/>
      <c r="C1892" s="23"/>
      <c r="D1892" s="14"/>
      <c r="E1892" s="17"/>
      <c r="F1892" s="13"/>
      <c r="G1892" s="13"/>
      <c r="H1892" s="13"/>
      <c r="I1892" s="13"/>
      <c r="J1892" s="13"/>
      <c r="K1892" s="13"/>
      <c r="L1892" s="22"/>
      <c r="M1892" s="22"/>
      <c r="N1892" s="22"/>
      <c r="O1892" s="946"/>
      <c r="P1892" s="974"/>
    </row>
    <row r="1893" spans="1:16" s="10" customFormat="1">
      <c r="A1893" s="647"/>
      <c r="B1893" s="24"/>
      <c r="C1893" s="23"/>
      <c r="D1893" s="14"/>
      <c r="E1893" s="17"/>
      <c r="F1893" s="13"/>
      <c r="G1893" s="13"/>
      <c r="H1893" s="13"/>
      <c r="I1893" s="13"/>
      <c r="J1893" s="13"/>
      <c r="K1893" s="13"/>
      <c r="L1893" s="22"/>
      <c r="M1893" s="22"/>
      <c r="N1893" s="22"/>
      <c r="O1893" s="946"/>
      <c r="P1893" s="974"/>
    </row>
    <row r="1894" spans="1:16" s="10" customFormat="1">
      <c r="A1894" s="647"/>
      <c r="B1894" s="24"/>
      <c r="C1894" s="23"/>
      <c r="D1894" s="14"/>
      <c r="E1894" s="17"/>
      <c r="F1894" s="13"/>
      <c r="G1894" s="13"/>
      <c r="H1894" s="13"/>
      <c r="I1894" s="13"/>
      <c r="J1894" s="13"/>
      <c r="K1894" s="13"/>
      <c r="L1894" s="22"/>
      <c r="M1894" s="22"/>
      <c r="N1894" s="22"/>
      <c r="O1894" s="946"/>
      <c r="P1894" s="974"/>
    </row>
    <row r="1895" spans="1:16" s="10" customFormat="1">
      <c r="A1895" s="647"/>
      <c r="B1895" s="24"/>
      <c r="C1895" s="23"/>
      <c r="D1895" s="14"/>
      <c r="E1895" s="17"/>
      <c r="F1895" s="13"/>
      <c r="G1895" s="13"/>
      <c r="H1895" s="13"/>
      <c r="I1895" s="13"/>
      <c r="J1895" s="13"/>
      <c r="K1895" s="13"/>
      <c r="L1895" s="22"/>
      <c r="M1895" s="22"/>
      <c r="N1895" s="22"/>
      <c r="O1895" s="946"/>
      <c r="P1895" s="974"/>
    </row>
    <row r="1896" spans="1:16" s="10" customFormat="1">
      <c r="A1896" s="647"/>
      <c r="B1896" s="24"/>
      <c r="C1896" s="23"/>
      <c r="D1896" s="14"/>
      <c r="E1896" s="17"/>
      <c r="F1896" s="13"/>
      <c r="G1896" s="13"/>
      <c r="H1896" s="13"/>
      <c r="I1896" s="13"/>
      <c r="J1896" s="13"/>
      <c r="K1896" s="13"/>
      <c r="L1896" s="22"/>
      <c r="M1896" s="22"/>
      <c r="N1896" s="22"/>
      <c r="O1896" s="946"/>
      <c r="P1896" s="974"/>
    </row>
    <row r="1897" spans="1:16" s="10" customFormat="1">
      <c r="A1897" s="647"/>
      <c r="B1897" s="24"/>
      <c r="C1897" s="23"/>
      <c r="D1897" s="14"/>
      <c r="E1897" s="17"/>
      <c r="F1897" s="13"/>
      <c r="G1897" s="13"/>
      <c r="H1897" s="13"/>
      <c r="I1897" s="13"/>
      <c r="J1897" s="13"/>
      <c r="K1897" s="13"/>
      <c r="L1897" s="22"/>
      <c r="M1897" s="22"/>
      <c r="N1897" s="22"/>
      <c r="O1897" s="946"/>
      <c r="P1897" s="974"/>
    </row>
    <row r="1898" spans="1:16" s="10" customFormat="1">
      <c r="A1898" s="647"/>
      <c r="B1898" s="24"/>
      <c r="C1898" s="23"/>
      <c r="D1898" s="14"/>
      <c r="E1898" s="17"/>
      <c r="F1898" s="13"/>
      <c r="G1898" s="13"/>
      <c r="H1898" s="13"/>
      <c r="I1898" s="13"/>
      <c r="J1898" s="13"/>
      <c r="K1898" s="13"/>
      <c r="L1898" s="22"/>
      <c r="M1898" s="22"/>
      <c r="N1898" s="22"/>
      <c r="O1898" s="946"/>
      <c r="P1898" s="974"/>
    </row>
    <row r="1899" spans="1:16" s="10" customFormat="1">
      <c r="A1899" s="647"/>
      <c r="B1899" s="24"/>
      <c r="C1899" s="23"/>
      <c r="D1899" s="14"/>
      <c r="E1899" s="17"/>
      <c r="F1899" s="13"/>
      <c r="G1899" s="13"/>
      <c r="H1899" s="13"/>
      <c r="I1899" s="13"/>
      <c r="J1899" s="13"/>
      <c r="K1899" s="13"/>
      <c r="L1899" s="22"/>
      <c r="M1899" s="22"/>
      <c r="N1899" s="22"/>
      <c r="O1899" s="946"/>
      <c r="P1899" s="974"/>
    </row>
    <row r="1900" spans="1:16" s="10" customFormat="1">
      <c r="A1900" s="647"/>
      <c r="B1900" s="24"/>
      <c r="C1900" s="23"/>
      <c r="D1900" s="14"/>
      <c r="E1900" s="17"/>
      <c r="F1900" s="13"/>
      <c r="G1900" s="13"/>
      <c r="H1900" s="13"/>
      <c r="I1900" s="13"/>
      <c r="J1900" s="13"/>
      <c r="K1900" s="13"/>
      <c r="L1900" s="22"/>
      <c r="M1900" s="22"/>
      <c r="N1900" s="22"/>
      <c r="O1900" s="946"/>
      <c r="P1900" s="974"/>
    </row>
    <row r="1901" spans="1:16" s="10" customFormat="1">
      <c r="A1901" s="647"/>
      <c r="B1901" s="24"/>
      <c r="C1901" s="23"/>
      <c r="D1901" s="14"/>
      <c r="E1901" s="17"/>
      <c r="F1901" s="13"/>
      <c r="G1901" s="13"/>
      <c r="H1901" s="13"/>
      <c r="I1901" s="13"/>
      <c r="J1901" s="13"/>
      <c r="K1901" s="13"/>
      <c r="L1901" s="22"/>
      <c r="M1901" s="22"/>
      <c r="N1901" s="22"/>
      <c r="O1901" s="946"/>
      <c r="P1901" s="974"/>
    </row>
    <row r="1902" spans="1:16" s="10" customFormat="1">
      <c r="A1902" s="647"/>
      <c r="B1902" s="24"/>
      <c r="C1902" s="23"/>
      <c r="D1902" s="14"/>
      <c r="E1902" s="17"/>
      <c r="F1902" s="13"/>
      <c r="G1902" s="13"/>
      <c r="H1902" s="13"/>
      <c r="I1902" s="13"/>
      <c r="J1902" s="13"/>
      <c r="K1902" s="13"/>
      <c r="L1902" s="22"/>
      <c r="M1902" s="22"/>
      <c r="N1902" s="22"/>
      <c r="O1902" s="946"/>
      <c r="P1902" s="974"/>
    </row>
    <row r="1903" spans="1:16" s="10" customFormat="1">
      <c r="A1903" s="647"/>
      <c r="B1903" s="24"/>
      <c r="C1903" s="23"/>
      <c r="D1903" s="14"/>
      <c r="E1903" s="17"/>
      <c r="F1903" s="13"/>
      <c r="G1903" s="13"/>
      <c r="H1903" s="13"/>
      <c r="I1903" s="13"/>
      <c r="J1903" s="13"/>
      <c r="K1903" s="13"/>
      <c r="L1903" s="22"/>
      <c r="M1903" s="22"/>
      <c r="N1903" s="22"/>
      <c r="O1903" s="946"/>
      <c r="P1903" s="974"/>
    </row>
    <row r="1904" spans="1:16" s="10" customFormat="1">
      <c r="A1904" s="647"/>
      <c r="B1904" s="24"/>
      <c r="C1904" s="23"/>
      <c r="D1904" s="14"/>
      <c r="E1904" s="17"/>
      <c r="F1904" s="13"/>
      <c r="G1904" s="13"/>
      <c r="H1904" s="13"/>
      <c r="I1904" s="13"/>
      <c r="J1904" s="13"/>
      <c r="K1904" s="13"/>
      <c r="L1904" s="22"/>
      <c r="M1904" s="22"/>
      <c r="N1904" s="22"/>
      <c r="O1904" s="946"/>
      <c r="P1904" s="974"/>
    </row>
    <row r="1905" spans="1:16" s="10" customFormat="1">
      <c r="A1905" s="647"/>
      <c r="B1905" s="24"/>
      <c r="C1905" s="23"/>
      <c r="D1905" s="14"/>
      <c r="E1905" s="17"/>
      <c r="F1905" s="13"/>
      <c r="G1905" s="13"/>
      <c r="H1905" s="13"/>
      <c r="I1905" s="13"/>
      <c r="J1905" s="13"/>
      <c r="K1905" s="13"/>
      <c r="L1905" s="22"/>
      <c r="M1905" s="22"/>
      <c r="N1905" s="22"/>
      <c r="O1905" s="946"/>
      <c r="P1905" s="974"/>
    </row>
    <row r="1906" spans="1:16" s="10" customFormat="1">
      <c r="A1906" s="647"/>
      <c r="B1906" s="16"/>
      <c r="C1906" s="15"/>
      <c r="D1906" s="14"/>
      <c r="E1906" s="17"/>
      <c r="F1906" s="13"/>
      <c r="G1906" s="12"/>
      <c r="H1906" s="12"/>
      <c r="I1906" s="12"/>
      <c r="J1906" s="12"/>
      <c r="K1906" s="12"/>
      <c r="L1906" s="11"/>
      <c r="M1906" s="11"/>
      <c r="N1906" s="11"/>
      <c r="O1906" s="947"/>
      <c r="P1906" s="974"/>
    </row>
    <row r="1907" spans="1:16" s="10" customFormat="1">
      <c r="A1907" s="647"/>
      <c r="B1907" s="16"/>
      <c r="C1907" s="15"/>
      <c r="D1907" s="14"/>
      <c r="E1907" s="17"/>
      <c r="F1907" s="13"/>
      <c r="G1907" s="12"/>
      <c r="H1907" s="12"/>
      <c r="I1907" s="12"/>
      <c r="J1907" s="12"/>
      <c r="K1907" s="12"/>
      <c r="L1907" s="11"/>
      <c r="M1907" s="11"/>
      <c r="N1907" s="11"/>
      <c r="O1907" s="947"/>
      <c r="P1907" s="974"/>
    </row>
    <row r="1908" spans="1:16" s="10" customFormat="1">
      <c r="A1908" s="647"/>
      <c r="B1908" s="16"/>
      <c r="C1908" s="15"/>
      <c r="D1908" s="14"/>
      <c r="E1908" s="17"/>
      <c r="F1908" s="13"/>
      <c r="G1908" s="12"/>
      <c r="H1908" s="12"/>
      <c r="I1908" s="12"/>
      <c r="J1908" s="12"/>
      <c r="K1908" s="12"/>
      <c r="L1908" s="11"/>
      <c r="M1908" s="11"/>
      <c r="N1908" s="11"/>
      <c r="O1908" s="947"/>
      <c r="P1908" s="974"/>
    </row>
    <row r="1909" spans="1:16" s="10" customFormat="1">
      <c r="A1909" s="647"/>
      <c r="B1909" s="16"/>
      <c r="C1909" s="15"/>
      <c r="D1909" s="14"/>
      <c r="E1909" s="17"/>
      <c r="F1909" s="13"/>
      <c r="G1909" s="12"/>
      <c r="H1909" s="12"/>
      <c r="I1909" s="12"/>
      <c r="J1909" s="12"/>
      <c r="K1909" s="12"/>
      <c r="L1909" s="11"/>
      <c r="M1909" s="11"/>
      <c r="N1909" s="11"/>
      <c r="O1909" s="947"/>
      <c r="P1909" s="974"/>
    </row>
    <row r="1910" spans="1:16" s="10" customFormat="1">
      <c r="A1910" s="647"/>
      <c r="B1910" s="16"/>
      <c r="C1910" s="15"/>
      <c r="D1910" s="14"/>
      <c r="E1910" s="17"/>
      <c r="F1910" s="13"/>
      <c r="G1910" s="12"/>
      <c r="H1910" s="12"/>
      <c r="I1910" s="12"/>
      <c r="J1910" s="12"/>
      <c r="K1910" s="12"/>
      <c r="L1910" s="11"/>
      <c r="M1910" s="11"/>
      <c r="N1910" s="11"/>
      <c r="O1910" s="947"/>
      <c r="P1910" s="974"/>
    </row>
    <row r="1911" spans="1:16" s="10" customFormat="1">
      <c r="A1911" s="647"/>
      <c r="B1911" s="16"/>
      <c r="C1911" s="15"/>
      <c r="D1911" s="14"/>
      <c r="E1911" s="17"/>
      <c r="F1911" s="13"/>
      <c r="G1911" s="12"/>
      <c r="H1911" s="12"/>
      <c r="I1911" s="12"/>
      <c r="J1911" s="12"/>
      <c r="K1911" s="12"/>
      <c r="L1911" s="11"/>
      <c r="M1911" s="11"/>
      <c r="N1911" s="11"/>
      <c r="O1911" s="947"/>
      <c r="P1911" s="974"/>
    </row>
    <row r="1912" spans="1:16" s="10" customFormat="1">
      <c r="A1912" s="647"/>
      <c r="B1912" s="16"/>
      <c r="C1912" s="15"/>
      <c r="D1912" s="14"/>
      <c r="E1912" s="17"/>
      <c r="F1912" s="13"/>
      <c r="G1912" s="12"/>
      <c r="H1912" s="12"/>
      <c r="I1912" s="12"/>
      <c r="J1912" s="12"/>
      <c r="K1912" s="12"/>
      <c r="L1912" s="11"/>
      <c r="M1912" s="11"/>
      <c r="N1912" s="11"/>
      <c r="O1912" s="947"/>
      <c r="P1912" s="974"/>
    </row>
    <row r="1913" spans="1:16" s="10" customFormat="1">
      <c r="A1913" s="647"/>
      <c r="B1913" s="16"/>
      <c r="C1913" s="15"/>
      <c r="D1913" s="14"/>
      <c r="E1913" s="17"/>
      <c r="F1913" s="13"/>
      <c r="G1913" s="12"/>
      <c r="H1913" s="12"/>
      <c r="I1913" s="12"/>
      <c r="J1913" s="12"/>
      <c r="K1913" s="12"/>
      <c r="L1913" s="11"/>
      <c r="M1913" s="11"/>
      <c r="N1913" s="11"/>
      <c r="O1913" s="947"/>
      <c r="P1913" s="974"/>
    </row>
    <row r="1914" spans="1:16" s="10" customFormat="1">
      <c r="A1914" s="647"/>
      <c r="B1914" s="16"/>
      <c r="C1914" s="15"/>
      <c r="D1914" s="14"/>
      <c r="E1914" s="17"/>
      <c r="F1914" s="13"/>
      <c r="G1914" s="12"/>
      <c r="H1914" s="12"/>
      <c r="I1914" s="12"/>
      <c r="J1914" s="12"/>
      <c r="K1914" s="12"/>
      <c r="L1914" s="11"/>
      <c r="M1914" s="11"/>
      <c r="N1914" s="11"/>
      <c r="O1914" s="947"/>
      <c r="P1914" s="974"/>
    </row>
    <row r="1915" spans="1:16" s="10" customFormat="1">
      <c r="A1915" s="647"/>
      <c r="B1915" s="16"/>
      <c r="C1915" s="15"/>
      <c r="D1915" s="14"/>
      <c r="E1915" s="17"/>
      <c r="F1915" s="13"/>
      <c r="G1915" s="12"/>
      <c r="H1915" s="12"/>
      <c r="I1915" s="12"/>
      <c r="J1915" s="12"/>
      <c r="K1915" s="12"/>
      <c r="L1915" s="11"/>
      <c r="M1915" s="11"/>
      <c r="N1915" s="11"/>
      <c r="O1915" s="947"/>
      <c r="P1915" s="974"/>
    </row>
    <row r="1916" spans="1:16" s="10" customFormat="1">
      <c r="A1916" s="647"/>
      <c r="B1916" s="16"/>
      <c r="C1916" s="15"/>
      <c r="D1916" s="14"/>
      <c r="E1916" s="17"/>
      <c r="F1916" s="13"/>
      <c r="G1916" s="12"/>
      <c r="H1916" s="12"/>
      <c r="I1916" s="12"/>
      <c r="J1916" s="12"/>
      <c r="K1916" s="12"/>
      <c r="L1916" s="11"/>
      <c r="M1916" s="11"/>
      <c r="N1916" s="11"/>
      <c r="O1916" s="947"/>
      <c r="P1916" s="974"/>
    </row>
    <row r="1917" spans="1:16" s="10" customFormat="1">
      <c r="A1917" s="647"/>
      <c r="B1917" s="16"/>
      <c r="C1917" s="15"/>
      <c r="D1917" s="14"/>
      <c r="E1917" s="17"/>
      <c r="F1917" s="13"/>
      <c r="G1917" s="12"/>
      <c r="H1917" s="12"/>
      <c r="I1917" s="12"/>
      <c r="J1917" s="12"/>
      <c r="K1917" s="12"/>
      <c r="L1917" s="11"/>
      <c r="M1917" s="11"/>
      <c r="N1917" s="11"/>
      <c r="O1917" s="947"/>
      <c r="P1917" s="974"/>
    </row>
    <row r="1918" spans="1:16" s="10" customFormat="1">
      <c r="A1918" s="647"/>
      <c r="B1918" s="16"/>
      <c r="C1918" s="15"/>
      <c r="D1918" s="14"/>
      <c r="E1918" s="17"/>
      <c r="F1918" s="13"/>
      <c r="G1918" s="12"/>
      <c r="H1918" s="12"/>
      <c r="I1918" s="12"/>
      <c r="J1918" s="12"/>
      <c r="K1918" s="12"/>
      <c r="L1918" s="11"/>
      <c r="M1918" s="11"/>
      <c r="N1918" s="11"/>
      <c r="O1918" s="947"/>
      <c r="P1918" s="974"/>
    </row>
    <row r="1919" spans="1:16" s="10" customFormat="1">
      <c r="A1919" s="647"/>
      <c r="B1919" s="16"/>
      <c r="C1919" s="15"/>
      <c r="D1919" s="14"/>
      <c r="E1919" s="17"/>
      <c r="F1919" s="13"/>
      <c r="G1919" s="12"/>
      <c r="H1919" s="12"/>
      <c r="I1919" s="12"/>
      <c r="J1919" s="12"/>
      <c r="K1919" s="12"/>
      <c r="L1919" s="11"/>
      <c r="M1919" s="11"/>
      <c r="N1919" s="11"/>
      <c r="O1919" s="947"/>
      <c r="P1919" s="974"/>
    </row>
    <row r="1920" spans="1:16" s="10" customFormat="1">
      <c r="A1920" s="647"/>
      <c r="B1920" s="16"/>
      <c r="C1920" s="15"/>
      <c r="D1920" s="14"/>
      <c r="E1920" s="17"/>
      <c r="F1920" s="13"/>
      <c r="G1920" s="12"/>
      <c r="H1920" s="12"/>
      <c r="I1920" s="12"/>
      <c r="J1920" s="12"/>
      <c r="K1920" s="12"/>
      <c r="L1920" s="11"/>
      <c r="M1920" s="11"/>
      <c r="N1920" s="11"/>
      <c r="O1920" s="947"/>
      <c r="P1920" s="974"/>
    </row>
    <row r="1921" spans="1:16" s="10" customFormat="1">
      <c r="A1921" s="647"/>
      <c r="B1921" s="16"/>
      <c r="C1921" s="15"/>
      <c r="D1921" s="14"/>
      <c r="E1921" s="17"/>
      <c r="F1921" s="13"/>
      <c r="G1921" s="12"/>
      <c r="H1921" s="12"/>
      <c r="I1921" s="12"/>
      <c r="J1921" s="12"/>
      <c r="K1921" s="12"/>
      <c r="L1921" s="11"/>
      <c r="M1921" s="11"/>
      <c r="N1921" s="11"/>
      <c r="O1921" s="947"/>
      <c r="P1921" s="974"/>
    </row>
    <row r="1922" spans="1:16" s="10" customFormat="1">
      <c r="A1922" s="647"/>
      <c r="B1922" s="16"/>
      <c r="C1922" s="15"/>
      <c r="D1922" s="14"/>
      <c r="E1922" s="17"/>
      <c r="F1922" s="13"/>
      <c r="G1922" s="12"/>
      <c r="H1922" s="12"/>
      <c r="I1922" s="12"/>
      <c r="J1922" s="12"/>
      <c r="K1922" s="12"/>
      <c r="L1922" s="11"/>
      <c r="M1922" s="11"/>
      <c r="N1922" s="11"/>
      <c r="O1922" s="947"/>
      <c r="P1922" s="974"/>
    </row>
    <row r="1923" spans="1:16" s="10" customFormat="1">
      <c r="A1923" s="647"/>
      <c r="B1923" s="16"/>
      <c r="C1923" s="15"/>
      <c r="D1923" s="14"/>
      <c r="E1923" s="17"/>
      <c r="F1923" s="13"/>
      <c r="G1923" s="12"/>
      <c r="H1923" s="12"/>
      <c r="I1923" s="12"/>
      <c r="J1923" s="12"/>
      <c r="K1923" s="12"/>
      <c r="L1923" s="11"/>
      <c r="M1923" s="11"/>
      <c r="N1923" s="11"/>
      <c r="O1923" s="947"/>
      <c r="P1923" s="974"/>
    </row>
    <row r="1924" spans="1:16" s="10" customFormat="1">
      <c r="A1924" s="647"/>
      <c r="B1924" s="16"/>
      <c r="C1924" s="15"/>
      <c r="D1924" s="14"/>
      <c r="E1924" s="17"/>
      <c r="F1924" s="13"/>
      <c r="G1924" s="12"/>
      <c r="H1924" s="12"/>
      <c r="I1924" s="12"/>
      <c r="J1924" s="12"/>
      <c r="K1924" s="12"/>
      <c r="L1924" s="11"/>
      <c r="M1924" s="11"/>
      <c r="N1924" s="11"/>
      <c r="O1924" s="947"/>
      <c r="P1924" s="974"/>
    </row>
    <row r="1925" spans="1:16" s="10" customFormat="1">
      <c r="A1925" s="647"/>
      <c r="B1925" s="16"/>
      <c r="C1925" s="15"/>
      <c r="D1925" s="14"/>
      <c r="E1925" s="17"/>
      <c r="F1925" s="13"/>
      <c r="G1925" s="12"/>
      <c r="H1925" s="12"/>
      <c r="I1925" s="12"/>
      <c r="J1925" s="12"/>
      <c r="K1925" s="12"/>
      <c r="L1925" s="11"/>
      <c r="M1925" s="11"/>
      <c r="N1925" s="11"/>
      <c r="O1925" s="947"/>
      <c r="P1925" s="974"/>
    </row>
    <row r="1926" spans="1:16" s="10" customFormat="1">
      <c r="A1926" s="647"/>
      <c r="B1926" s="16"/>
      <c r="C1926" s="15"/>
      <c r="D1926" s="14"/>
      <c r="E1926" s="17"/>
      <c r="F1926" s="13"/>
      <c r="G1926" s="12"/>
      <c r="H1926" s="12"/>
      <c r="I1926" s="12"/>
      <c r="J1926" s="12"/>
      <c r="K1926" s="12"/>
      <c r="L1926" s="11"/>
      <c r="M1926" s="11"/>
      <c r="N1926" s="11"/>
      <c r="O1926" s="947"/>
      <c r="P1926" s="974"/>
    </row>
    <row r="1927" spans="1:16" s="10" customFormat="1">
      <c r="A1927" s="647"/>
      <c r="B1927" s="16"/>
      <c r="C1927" s="15"/>
      <c r="D1927" s="14"/>
      <c r="E1927" s="17"/>
      <c r="F1927" s="13"/>
      <c r="G1927" s="12"/>
      <c r="H1927" s="12"/>
      <c r="I1927" s="12"/>
      <c r="J1927" s="12"/>
      <c r="K1927" s="12"/>
      <c r="L1927" s="11"/>
      <c r="M1927" s="11"/>
      <c r="N1927" s="11"/>
      <c r="O1927" s="947"/>
      <c r="P1927" s="974"/>
    </row>
    <row r="1928" spans="1:16" s="10" customFormat="1">
      <c r="A1928" s="647"/>
      <c r="B1928" s="16"/>
      <c r="C1928" s="15"/>
      <c r="D1928" s="14"/>
      <c r="E1928" s="17"/>
      <c r="F1928" s="13"/>
      <c r="G1928" s="12"/>
      <c r="H1928" s="12"/>
      <c r="I1928" s="12"/>
      <c r="J1928" s="12"/>
      <c r="K1928" s="12"/>
      <c r="L1928" s="11"/>
      <c r="M1928" s="11"/>
      <c r="N1928" s="11"/>
      <c r="O1928" s="947"/>
      <c r="P1928" s="974"/>
    </row>
    <row r="1929" spans="1:16" s="10" customFormat="1">
      <c r="A1929" s="647"/>
      <c r="B1929" s="16"/>
      <c r="C1929" s="15"/>
      <c r="D1929" s="14"/>
      <c r="E1929" s="17"/>
      <c r="F1929" s="13"/>
      <c r="G1929" s="12"/>
      <c r="H1929" s="12"/>
      <c r="I1929" s="12"/>
      <c r="J1929" s="12"/>
      <c r="K1929" s="12"/>
      <c r="L1929" s="11"/>
      <c r="M1929" s="11"/>
      <c r="N1929" s="11"/>
      <c r="O1929" s="947"/>
      <c r="P1929" s="974"/>
    </row>
    <row r="1930" spans="1:16" s="10" customFormat="1">
      <c r="A1930" s="647"/>
      <c r="B1930" s="16"/>
      <c r="C1930" s="15"/>
      <c r="D1930" s="14"/>
      <c r="E1930" s="17"/>
      <c r="F1930" s="13"/>
      <c r="G1930" s="12"/>
      <c r="H1930" s="12"/>
      <c r="I1930" s="12"/>
      <c r="J1930" s="12"/>
      <c r="K1930" s="12"/>
      <c r="L1930" s="11"/>
      <c r="M1930" s="11"/>
      <c r="N1930" s="11"/>
      <c r="O1930" s="947"/>
      <c r="P1930" s="974"/>
    </row>
    <row r="1931" spans="1:16" s="10" customFormat="1">
      <c r="A1931" s="647"/>
      <c r="B1931" s="16"/>
      <c r="C1931" s="15"/>
      <c r="D1931" s="14"/>
      <c r="E1931" s="17"/>
      <c r="F1931" s="13"/>
      <c r="G1931" s="12"/>
      <c r="H1931" s="12"/>
      <c r="I1931" s="12"/>
      <c r="J1931" s="12"/>
      <c r="K1931" s="12"/>
      <c r="L1931" s="11"/>
      <c r="M1931" s="11"/>
      <c r="N1931" s="11"/>
      <c r="O1931" s="947"/>
      <c r="P1931" s="974"/>
    </row>
    <row r="1932" spans="1:16" s="10" customFormat="1">
      <c r="A1932" s="647"/>
      <c r="B1932" s="16"/>
      <c r="C1932" s="15"/>
      <c r="D1932" s="14"/>
      <c r="E1932" s="17"/>
      <c r="F1932" s="13"/>
      <c r="G1932" s="12"/>
      <c r="H1932" s="12"/>
      <c r="I1932" s="12"/>
      <c r="J1932" s="12"/>
      <c r="K1932" s="12"/>
      <c r="L1932" s="11"/>
      <c r="M1932" s="11"/>
      <c r="N1932" s="11"/>
      <c r="O1932" s="947"/>
      <c r="P1932" s="974"/>
    </row>
    <row r="1933" spans="1:16" s="10" customFormat="1">
      <c r="A1933" s="647"/>
      <c r="B1933" s="16"/>
      <c r="C1933" s="15"/>
      <c r="D1933" s="14"/>
      <c r="E1933" s="17"/>
      <c r="F1933" s="13"/>
      <c r="G1933" s="12"/>
      <c r="H1933" s="12"/>
      <c r="I1933" s="12"/>
      <c r="J1933" s="12"/>
      <c r="K1933" s="12"/>
      <c r="L1933" s="11"/>
      <c r="M1933" s="11"/>
      <c r="N1933" s="11"/>
      <c r="O1933" s="947"/>
      <c r="P1933" s="974"/>
    </row>
    <row r="1934" spans="1:16" s="10" customFormat="1">
      <c r="A1934" s="647"/>
      <c r="B1934" s="16"/>
      <c r="C1934" s="15"/>
      <c r="D1934" s="14"/>
      <c r="E1934" s="17"/>
      <c r="F1934" s="13"/>
      <c r="G1934" s="12"/>
      <c r="H1934" s="12"/>
      <c r="I1934" s="12"/>
      <c r="J1934" s="12"/>
      <c r="K1934" s="12"/>
      <c r="L1934" s="11"/>
      <c r="M1934" s="11"/>
      <c r="N1934" s="11"/>
      <c r="O1934" s="947"/>
      <c r="P1934" s="974"/>
    </row>
    <row r="1935" spans="1:16" s="10" customFormat="1">
      <c r="A1935" s="647"/>
      <c r="B1935" s="16"/>
      <c r="C1935" s="15"/>
      <c r="D1935" s="14"/>
      <c r="E1935" s="17"/>
      <c r="F1935" s="13"/>
      <c r="G1935" s="12"/>
      <c r="H1935" s="12"/>
      <c r="I1935" s="12"/>
      <c r="J1935" s="12"/>
      <c r="K1935" s="12"/>
      <c r="L1935" s="11"/>
      <c r="M1935" s="11"/>
      <c r="N1935" s="11"/>
      <c r="O1935" s="947"/>
      <c r="P1935" s="974"/>
    </row>
    <row r="1936" spans="1:16" s="10" customFormat="1">
      <c r="A1936" s="647"/>
      <c r="B1936" s="16"/>
      <c r="C1936" s="15"/>
      <c r="D1936" s="14"/>
      <c r="E1936" s="17"/>
      <c r="F1936" s="13"/>
      <c r="G1936" s="12"/>
      <c r="H1936" s="12"/>
      <c r="I1936" s="12"/>
      <c r="J1936" s="12"/>
      <c r="K1936" s="12"/>
      <c r="L1936" s="11"/>
      <c r="M1936" s="11"/>
      <c r="N1936" s="11"/>
      <c r="O1936" s="947"/>
      <c r="P1936" s="974"/>
    </row>
    <row r="1937" spans="1:16" s="10" customFormat="1">
      <c r="A1937" s="647"/>
      <c r="B1937" s="16"/>
      <c r="C1937" s="15"/>
      <c r="D1937" s="14"/>
      <c r="E1937" s="17"/>
      <c r="F1937" s="13"/>
      <c r="G1937" s="12"/>
      <c r="H1937" s="12"/>
      <c r="I1937" s="12"/>
      <c r="J1937" s="12"/>
      <c r="K1937" s="12"/>
      <c r="L1937" s="11"/>
      <c r="M1937" s="11"/>
      <c r="N1937" s="11"/>
      <c r="O1937" s="947"/>
      <c r="P1937" s="974"/>
    </row>
    <row r="1938" spans="1:16" s="10" customFormat="1">
      <c r="A1938" s="647"/>
      <c r="B1938" s="16"/>
      <c r="C1938" s="15"/>
      <c r="D1938" s="14"/>
      <c r="E1938" s="17"/>
      <c r="F1938" s="13"/>
      <c r="G1938" s="12"/>
      <c r="H1938" s="12"/>
      <c r="I1938" s="12"/>
      <c r="J1938" s="12"/>
      <c r="K1938" s="12"/>
      <c r="L1938" s="11"/>
      <c r="M1938" s="11"/>
      <c r="N1938" s="11"/>
      <c r="O1938" s="947"/>
      <c r="P1938" s="974"/>
    </row>
    <row r="1939" spans="1:16" s="10" customFormat="1">
      <c r="A1939" s="647"/>
      <c r="B1939" s="16"/>
      <c r="C1939" s="15"/>
      <c r="D1939" s="14"/>
      <c r="E1939" s="17"/>
      <c r="F1939" s="13"/>
      <c r="G1939" s="12"/>
      <c r="H1939" s="12"/>
      <c r="I1939" s="12"/>
      <c r="J1939" s="12"/>
      <c r="K1939" s="12"/>
      <c r="L1939" s="11"/>
      <c r="M1939" s="11"/>
      <c r="N1939" s="11"/>
      <c r="O1939" s="947"/>
      <c r="P1939" s="974"/>
    </row>
    <row r="1940" spans="1:16" s="10" customFormat="1">
      <c r="A1940" s="647"/>
      <c r="B1940" s="16"/>
      <c r="C1940" s="15"/>
      <c r="D1940" s="14"/>
      <c r="E1940" s="17"/>
      <c r="F1940" s="13"/>
      <c r="G1940" s="12"/>
      <c r="H1940" s="12"/>
      <c r="I1940" s="12"/>
      <c r="J1940" s="12"/>
      <c r="K1940" s="12"/>
      <c r="L1940" s="11"/>
      <c r="M1940" s="11"/>
      <c r="N1940" s="11"/>
      <c r="O1940" s="947"/>
      <c r="P1940" s="974"/>
    </row>
    <row r="1941" spans="1:16" s="10" customFormat="1">
      <c r="A1941" s="647"/>
      <c r="B1941" s="16"/>
      <c r="C1941" s="15"/>
      <c r="D1941" s="14"/>
      <c r="E1941" s="17"/>
      <c r="F1941" s="13"/>
      <c r="G1941" s="12"/>
      <c r="H1941" s="12"/>
      <c r="I1941" s="12"/>
      <c r="J1941" s="12"/>
      <c r="K1941" s="12"/>
      <c r="L1941" s="11"/>
      <c r="M1941" s="11"/>
      <c r="N1941" s="11"/>
      <c r="O1941" s="947"/>
      <c r="P1941" s="974"/>
    </row>
    <row r="1942" spans="1:16" s="10" customFormat="1">
      <c r="A1942" s="647"/>
      <c r="B1942" s="16"/>
      <c r="C1942" s="15"/>
      <c r="D1942" s="14"/>
      <c r="E1942" s="17"/>
      <c r="F1942" s="13"/>
      <c r="G1942" s="12"/>
      <c r="H1942" s="12"/>
      <c r="I1942" s="12"/>
      <c r="J1942" s="12"/>
      <c r="K1942" s="12"/>
      <c r="L1942" s="11"/>
      <c r="M1942" s="11"/>
      <c r="N1942" s="11"/>
      <c r="O1942" s="947"/>
      <c r="P1942" s="974"/>
    </row>
    <row r="1943" spans="1:16" s="10" customFormat="1">
      <c r="A1943" s="647"/>
      <c r="B1943" s="16"/>
      <c r="C1943" s="15"/>
      <c r="D1943" s="14"/>
      <c r="E1943" s="17"/>
      <c r="F1943" s="13"/>
      <c r="G1943" s="12"/>
      <c r="H1943" s="12"/>
      <c r="I1943" s="12"/>
      <c r="J1943" s="12"/>
      <c r="K1943" s="12"/>
      <c r="L1943" s="11"/>
      <c r="M1943" s="11"/>
      <c r="N1943" s="11"/>
      <c r="O1943" s="947"/>
      <c r="P1943" s="974"/>
    </row>
    <row r="1944" spans="1:16" s="10" customFormat="1">
      <c r="A1944" s="647"/>
      <c r="B1944" s="16"/>
      <c r="C1944" s="15"/>
      <c r="D1944" s="14"/>
      <c r="E1944" s="17"/>
      <c r="F1944" s="13"/>
      <c r="G1944" s="12"/>
      <c r="H1944" s="12"/>
      <c r="I1944" s="12"/>
      <c r="J1944" s="12"/>
      <c r="K1944" s="12"/>
      <c r="L1944" s="11"/>
      <c r="M1944" s="11"/>
      <c r="N1944" s="11"/>
      <c r="O1944" s="947"/>
      <c r="P1944" s="974"/>
    </row>
    <row r="1945" spans="1:16" s="10" customFormat="1">
      <c r="A1945" s="647"/>
      <c r="B1945" s="16"/>
      <c r="C1945" s="15"/>
      <c r="D1945" s="14"/>
      <c r="E1945" s="17"/>
      <c r="F1945" s="13"/>
      <c r="G1945" s="12"/>
      <c r="H1945" s="12"/>
      <c r="I1945" s="12"/>
      <c r="J1945" s="12"/>
      <c r="K1945" s="12"/>
      <c r="L1945" s="11"/>
      <c r="M1945" s="11"/>
      <c r="N1945" s="11"/>
      <c r="O1945" s="947"/>
      <c r="P1945" s="974"/>
    </row>
    <row r="1946" spans="1:16" s="10" customFormat="1">
      <c r="A1946" s="647"/>
      <c r="B1946" s="16"/>
      <c r="C1946" s="15"/>
      <c r="D1946" s="14"/>
      <c r="E1946" s="17"/>
      <c r="F1946" s="13"/>
      <c r="G1946" s="12"/>
      <c r="H1946" s="12"/>
      <c r="I1946" s="12"/>
      <c r="J1946" s="12"/>
      <c r="K1946" s="12"/>
      <c r="L1946" s="11"/>
      <c r="M1946" s="11"/>
      <c r="N1946" s="11"/>
      <c r="O1946" s="947"/>
      <c r="P1946" s="974"/>
    </row>
    <row r="1947" spans="1:16" s="10" customFormat="1">
      <c r="A1947" s="647"/>
      <c r="B1947" s="16"/>
      <c r="C1947" s="15"/>
      <c r="D1947" s="14"/>
      <c r="E1947" s="17"/>
      <c r="F1947" s="13"/>
      <c r="G1947" s="12"/>
      <c r="H1947" s="12"/>
      <c r="I1947" s="12"/>
      <c r="J1947" s="12"/>
      <c r="K1947" s="12"/>
      <c r="L1947" s="11"/>
      <c r="M1947" s="11"/>
      <c r="N1947" s="11"/>
      <c r="O1947" s="947"/>
      <c r="P1947" s="974"/>
    </row>
    <row r="1948" spans="1:16" s="10" customFormat="1">
      <c r="A1948" s="647"/>
      <c r="B1948" s="16"/>
      <c r="C1948" s="15"/>
      <c r="D1948" s="14"/>
      <c r="E1948" s="17"/>
      <c r="F1948" s="13"/>
      <c r="G1948" s="12"/>
      <c r="H1948" s="12"/>
      <c r="I1948" s="12"/>
      <c r="J1948" s="12"/>
      <c r="K1948" s="12"/>
      <c r="L1948" s="11"/>
      <c r="M1948" s="11"/>
      <c r="N1948" s="11"/>
      <c r="O1948" s="947"/>
      <c r="P1948" s="974"/>
    </row>
    <row r="1949" spans="1:16" s="10" customFormat="1">
      <c r="A1949" s="647"/>
      <c r="B1949" s="16"/>
      <c r="C1949" s="15"/>
      <c r="D1949" s="14"/>
      <c r="E1949" s="17"/>
      <c r="F1949" s="13"/>
      <c r="G1949" s="12"/>
      <c r="H1949" s="12"/>
      <c r="I1949" s="12"/>
      <c r="J1949" s="12"/>
      <c r="K1949" s="12"/>
      <c r="L1949" s="11"/>
      <c r="M1949" s="11"/>
      <c r="N1949" s="11"/>
      <c r="O1949" s="947"/>
      <c r="P1949" s="974"/>
    </row>
    <row r="1950" spans="1:16" s="10" customFormat="1">
      <c r="A1950" s="647"/>
      <c r="B1950" s="16"/>
      <c r="C1950" s="15"/>
      <c r="D1950" s="14"/>
      <c r="E1950" s="17"/>
      <c r="F1950" s="13"/>
      <c r="G1950" s="12"/>
      <c r="H1950" s="12"/>
      <c r="I1950" s="12"/>
      <c r="J1950" s="12"/>
      <c r="K1950" s="12"/>
      <c r="L1950" s="11"/>
      <c r="M1950" s="11"/>
      <c r="N1950" s="11"/>
      <c r="O1950" s="947"/>
      <c r="P1950" s="974"/>
    </row>
    <row r="1951" spans="1:16" s="10" customFormat="1">
      <c r="A1951" s="647"/>
      <c r="B1951" s="16"/>
      <c r="C1951" s="15"/>
      <c r="D1951" s="14"/>
      <c r="E1951" s="17"/>
      <c r="F1951" s="13"/>
      <c r="G1951" s="12"/>
      <c r="H1951" s="12"/>
      <c r="I1951" s="12"/>
      <c r="J1951" s="12"/>
      <c r="K1951" s="12"/>
      <c r="L1951" s="11"/>
      <c r="M1951" s="11"/>
      <c r="N1951" s="11"/>
      <c r="O1951" s="947"/>
      <c r="P1951" s="974"/>
    </row>
    <row r="1952" spans="1:16" s="10" customFormat="1">
      <c r="A1952" s="647"/>
      <c r="B1952" s="16"/>
      <c r="C1952" s="15"/>
      <c r="D1952" s="14"/>
      <c r="E1952" s="17"/>
      <c r="F1952" s="13"/>
      <c r="G1952" s="12"/>
      <c r="H1952" s="12"/>
      <c r="I1952" s="12"/>
      <c r="J1952" s="12"/>
      <c r="K1952" s="12"/>
      <c r="L1952" s="11"/>
      <c r="M1952" s="11"/>
      <c r="N1952" s="11"/>
      <c r="O1952" s="947"/>
      <c r="P1952" s="974"/>
    </row>
    <row r="1953" spans="1:16" s="10" customFormat="1">
      <c r="A1953" s="647"/>
      <c r="B1953" s="16"/>
      <c r="C1953" s="15"/>
      <c r="D1953" s="14"/>
      <c r="E1953" s="17"/>
      <c r="F1953" s="13"/>
      <c r="G1953" s="12"/>
      <c r="H1953" s="12"/>
      <c r="I1953" s="12"/>
      <c r="J1953" s="12"/>
      <c r="K1953" s="12"/>
      <c r="L1953" s="11"/>
      <c r="M1953" s="11"/>
      <c r="N1953" s="11"/>
      <c r="O1953" s="947"/>
      <c r="P1953" s="974"/>
    </row>
    <row r="1954" spans="1:16" s="10" customFormat="1">
      <c r="A1954" s="647"/>
      <c r="B1954" s="16"/>
      <c r="C1954" s="15"/>
      <c r="D1954" s="14"/>
      <c r="E1954" s="17"/>
      <c r="F1954" s="13"/>
      <c r="G1954" s="12"/>
      <c r="H1954" s="12"/>
      <c r="I1954" s="12"/>
      <c r="J1954" s="12"/>
      <c r="K1954" s="12"/>
      <c r="L1954" s="11"/>
      <c r="M1954" s="11"/>
      <c r="N1954" s="11"/>
      <c r="O1954" s="947"/>
      <c r="P1954" s="974"/>
    </row>
    <row r="1955" spans="1:16" s="10" customFormat="1">
      <c r="A1955" s="647"/>
      <c r="B1955" s="16"/>
      <c r="C1955" s="15"/>
      <c r="D1955" s="14"/>
      <c r="E1955" s="17"/>
      <c r="F1955" s="13"/>
      <c r="G1955" s="12"/>
      <c r="H1955" s="12"/>
      <c r="I1955" s="12"/>
      <c r="J1955" s="12"/>
      <c r="K1955" s="12"/>
      <c r="L1955" s="11"/>
      <c r="M1955" s="11"/>
      <c r="N1955" s="11"/>
      <c r="O1955" s="947"/>
      <c r="P1955" s="974"/>
    </row>
    <row r="1956" spans="1:16" s="10" customFormat="1">
      <c r="A1956" s="647"/>
      <c r="B1956" s="16"/>
      <c r="C1956" s="15"/>
      <c r="D1956" s="14"/>
      <c r="E1956" s="17"/>
      <c r="F1956" s="13"/>
      <c r="G1956" s="12"/>
      <c r="H1956" s="12"/>
      <c r="I1956" s="12"/>
      <c r="J1956" s="12"/>
      <c r="K1956" s="12"/>
      <c r="L1956" s="11"/>
      <c r="M1956" s="11"/>
      <c r="N1956" s="11"/>
      <c r="O1956" s="947"/>
      <c r="P1956" s="974"/>
    </row>
    <row r="1957" spans="1:16" s="10" customFormat="1">
      <c r="A1957" s="647"/>
      <c r="B1957" s="16"/>
      <c r="C1957" s="15"/>
      <c r="D1957" s="14"/>
      <c r="E1957" s="17"/>
      <c r="F1957" s="13"/>
      <c r="G1957" s="12"/>
      <c r="H1957" s="12"/>
      <c r="I1957" s="12"/>
      <c r="J1957" s="12"/>
      <c r="K1957" s="12"/>
      <c r="L1957" s="11"/>
      <c r="M1957" s="11"/>
      <c r="N1957" s="11"/>
      <c r="O1957" s="947"/>
      <c r="P1957" s="974"/>
    </row>
    <row r="1958" spans="1:16" s="10" customFormat="1">
      <c r="A1958" s="647"/>
      <c r="B1958" s="16"/>
      <c r="C1958" s="15"/>
      <c r="D1958" s="14"/>
      <c r="E1958" s="17"/>
      <c r="F1958" s="13"/>
      <c r="G1958" s="12"/>
      <c r="H1958" s="12"/>
      <c r="I1958" s="12"/>
      <c r="J1958" s="12"/>
      <c r="K1958" s="12"/>
      <c r="L1958" s="11"/>
      <c r="M1958" s="11"/>
      <c r="N1958" s="11"/>
      <c r="O1958" s="947"/>
      <c r="P1958" s="974"/>
    </row>
    <row r="1959" spans="1:16" s="10" customFormat="1">
      <c r="A1959" s="647"/>
      <c r="B1959" s="16"/>
      <c r="C1959" s="15"/>
      <c r="D1959" s="14"/>
      <c r="E1959" s="17"/>
      <c r="F1959" s="13"/>
      <c r="G1959" s="12"/>
      <c r="H1959" s="12"/>
      <c r="I1959" s="12"/>
      <c r="J1959" s="12"/>
      <c r="K1959" s="12"/>
      <c r="L1959" s="11"/>
      <c r="M1959" s="11"/>
      <c r="N1959" s="11"/>
      <c r="O1959" s="947"/>
      <c r="P1959" s="974"/>
    </row>
    <row r="1960" spans="1:16" s="10" customFormat="1">
      <c r="A1960" s="647"/>
      <c r="B1960" s="16"/>
      <c r="C1960" s="15"/>
      <c r="D1960" s="14"/>
      <c r="E1960" s="17"/>
      <c r="F1960" s="13"/>
      <c r="G1960" s="12"/>
      <c r="H1960" s="12"/>
      <c r="I1960" s="12"/>
      <c r="J1960" s="12"/>
      <c r="K1960" s="12"/>
      <c r="L1960" s="11"/>
      <c r="M1960" s="11"/>
      <c r="N1960" s="11"/>
      <c r="O1960" s="947"/>
      <c r="P1960" s="974"/>
    </row>
    <row r="1961" spans="1:16" s="10" customFormat="1">
      <c r="A1961" s="647"/>
      <c r="B1961" s="16"/>
      <c r="C1961" s="15"/>
      <c r="D1961" s="14"/>
      <c r="E1961" s="17"/>
      <c r="F1961" s="13"/>
      <c r="G1961" s="12"/>
      <c r="H1961" s="12"/>
      <c r="I1961" s="12"/>
      <c r="J1961" s="12"/>
      <c r="K1961" s="12"/>
      <c r="L1961" s="11"/>
      <c r="M1961" s="11"/>
      <c r="N1961" s="11"/>
      <c r="O1961" s="947"/>
      <c r="P1961" s="974"/>
    </row>
    <row r="1962" spans="1:16" s="10" customFormat="1">
      <c r="A1962" s="647"/>
      <c r="B1962" s="16"/>
      <c r="C1962" s="15"/>
      <c r="D1962" s="14"/>
      <c r="E1962" s="17"/>
      <c r="F1962" s="13"/>
      <c r="G1962" s="12"/>
      <c r="H1962" s="12"/>
      <c r="I1962" s="12"/>
      <c r="J1962" s="12"/>
      <c r="K1962" s="12"/>
      <c r="L1962" s="11"/>
      <c r="M1962" s="11"/>
      <c r="N1962" s="11"/>
      <c r="O1962" s="947"/>
      <c r="P1962" s="974"/>
    </row>
    <row r="1963" spans="1:16" s="10" customFormat="1">
      <c r="A1963" s="647"/>
      <c r="B1963" s="16"/>
      <c r="C1963" s="15"/>
      <c r="D1963" s="14"/>
      <c r="E1963" s="17"/>
      <c r="F1963" s="13"/>
      <c r="G1963" s="12"/>
      <c r="H1963" s="12"/>
      <c r="I1963" s="12"/>
      <c r="J1963" s="12"/>
      <c r="K1963" s="12"/>
      <c r="L1963" s="11"/>
      <c r="M1963" s="11"/>
      <c r="N1963" s="11"/>
      <c r="O1963" s="947"/>
      <c r="P1963" s="974"/>
    </row>
    <row r="1964" spans="1:16" s="10" customFormat="1">
      <c r="A1964" s="647"/>
      <c r="B1964" s="16"/>
      <c r="C1964" s="15"/>
      <c r="D1964" s="14"/>
      <c r="E1964" s="17"/>
      <c r="F1964" s="13"/>
      <c r="G1964" s="12"/>
      <c r="H1964" s="12"/>
      <c r="I1964" s="12"/>
      <c r="J1964" s="12"/>
      <c r="K1964" s="12"/>
      <c r="L1964" s="11"/>
      <c r="M1964" s="11"/>
      <c r="N1964" s="11"/>
      <c r="O1964" s="947"/>
      <c r="P1964" s="974"/>
    </row>
    <row r="1965" spans="1:16" s="10" customFormat="1">
      <c r="A1965" s="647"/>
      <c r="B1965" s="16"/>
      <c r="C1965" s="15"/>
      <c r="D1965" s="14"/>
      <c r="E1965" s="17"/>
      <c r="F1965" s="13"/>
      <c r="G1965" s="12"/>
      <c r="H1965" s="12"/>
      <c r="I1965" s="12"/>
      <c r="J1965" s="12"/>
      <c r="K1965" s="12"/>
      <c r="L1965" s="11"/>
      <c r="M1965" s="11"/>
      <c r="N1965" s="11"/>
      <c r="O1965" s="947"/>
      <c r="P1965" s="974"/>
    </row>
    <row r="1966" spans="1:16" s="10" customFormat="1">
      <c r="A1966" s="647"/>
      <c r="B1966" s="16"/>
      <c r="C1966" s="15"/>
      <c r="D1966" s="14"/>
      <c r="E1966" s="17"/>
      <c r="F1966" s="13"/>
      <c r="G1966" s="12"/>
      <c r="H1966" s="12"/>
      <c r="I1966" s="12"/>
      <c r="J1966" s="12"/>
      <c r="K1966" s="12"/>
      <c r="L1966" s="11"/>
      <c r="M1966" s="11"/>
      <c r="N1966" s="11"/>
      <c r="O1966" s="947"/>
      <c r="P1966" s="974"/>
    </row>
    <row r="1967" spans="1:16" s="10" customFormat="1">
      <c r="A1967" s="647"/>
      <c r="B1967" s="16"/>
      <c r="C1967" s="15"/>
      <c r="D1967" s="14"/>
      <c r="E1967" s="17"/>
      <c r="F1967" s="13"/>
      <c r="G1967" s="12"/>
      <c r="H1967" s="12"/>
      <c r="I1967" s="12"/>
      <c r="J1967" s="12"/>
      <c r="K1967" s="12"/>
      <c r="L1967" s="11"/>
      <c r="M1967" s="11"/>
      <c r="N1967" s="11"/>
      <c r="O1967" s="947"/>
      <c r="P1967" s="974"/>
    </row>
    <row r="1968" spans="1:16" s="10" customFormat="1">
      <c r="A1968" s="647"/>
      <c r="B1968" s="16"/>
      <c r="C1968" s="15"/>
      <c r="D1968" s="14"/>
      <c r="E1968" s="17"/>
      <c r="F1968" s="13"/>
      <c r="G1968" s="12"/>
      <c r="H1968" s="12"/>
      <c r="I1968" s="12"/>
      <c r="J1968" s="12"/>
      <c r="K1968" s="12"/>
      <c r="L1968" s="11"/>
      <c r="M1968" s="11"/>
      <c r="N1968" s="11"/>
      <c r="O1968" s="947"/>
      <c r="P1968" s="974"/>
    </row>
    <row r="1969" spans="1:16" s="10" customFormat="1">
      <c r="A1969" s="647"/>
      <c r="B1969" s="16"/>
      <c r="C1969" s="15"/>
      <c r="D1969" s="14"/>
      <c r="E1969" s="17"/>
      <c r="F1969" s="13"/>
      <c r="G1969" s="12"/>
      <c r="H1969" s="12"/>
      <c r="I1969" s="12"/>
      <c r="J1969" s="12"/>
      <c r="K1969" s="12"/>
      <c r="L1969" s="11"/>
      <c r="M1969" s="11"/>
      <c r="N1969" s="11"/>
      <c r="O1969" s="947"/>
      <c r="P1969" s="974"/>
    </row>
    <row r="1970" spans="1:16" s="10" customFormat="1">
      <c r="A1970" s="647"/>
      <c r="B1970" s="16"/>
      <c r="C1970" s="15"/>
      <c r="D1970" s="14"/>
      <c r="E1970" s="17"/>
      <c r="F1970" s="13"/>
      <c r="G1970" s="12"/>
      <c r="H1970" s="12"/>
      <c r="I1970" s="12"/>
      <c r="J1970" s="12"/>
      <c r="K1970" s="12"/>
      <c r="L1970" s="11"/>
      <c r="M1970" s="11"/>
      <c r="N1970" s="11"/>
      <c r="O1970" s="947"/>
      <c r="P1970" s="974"/>
    </row>
    <row r="1971" spans="1:16" s="10" customFormat="1">
      <c r="A1971" s="647"/>
      <c r="B1971" s="16"/>
      <c r="C1971" s="15"/>
      <c r="D1971" s="14"/>
      <c r="E1971" s="17"/>
      <c r="F1971" s="13"/>
      <c r="G1971" s="12"/>
      <c r="H1971" s="12"/>
      <c r="I1971" s="12"/>
      <c r="J1971" s="12"/>
      <c r="K1971" s="12"/>
      <c r="L1971" s="11"/>
      <c r="M1971" s="11"/>
      <c r="N1971" s="11"/>
      <c r="O1971" s="947"/>
      <c r="P1971" s="974"/>
    </row>
    <row r="1972" spans="1:16" s="10" customFormat="1">
      <c r="A1972" s="647"/>
      <c r="B1972" s="16"/>
      <c r="C1972" s="15"/>
      <c r="D1972" s="14"/>
      <c r="E1972" s="17"/>
      <c r="F1972" s="13"/>
      <c r="G1972" s="12"/>
      <c r="H1972" s="12"/>
      <c r="I1972" s="12"/>
      <c r="J1972" s="12"/>
      <c r="K1972" s="12"/>
      <c r="L1972" s="11"/>
      <c r="M1972" s="11"/>
      <c r="N1972" s="11"/>
      <c r="O1972" s="947"/>
      <c r="P1972" s="974"/>
    </row>
    <row r="1973" spans="1:16" s="10" customFormat="1">
      <c r="A1973" s="647"/>
      <c r="B1973" s="16"/>
      <c r="C1973" s="15"/>
      <c r="D1973" s="14"/>
      <c r="E1973" s="17"/>
      <c r="F1973" s="13"/>
      <c r="G1973" s="12"/>
      <c r="H1973" s="12"/>
      <c r="I1973" s="12"/>
      <c r="J1973" s="12"/>
      <c r="K1973" s="12"/>
      <c r="L1973" s="11"/>
      <c r="M1973" s="11"/>
      <c r="N1973" s="11"/>
      <c r="O1973" s="947"/>
      <c r="P1973" s="974"/>
    </row>
    <row r="1974" spans="1:16" s="10" customFormat="1">
      <c r="A1974" s="647"/>
      <c r="B1974" s="16"/>
      <c r="C1974" s="15"/>
      <c r="D1974" s="14"/>
      <c r="E1974" s="17"/>
      <c r="F1974" s="13"/>
      <c r="G1974" s="12"/>
      <c r="H1974" s="12"/>
      <c r="I1974" s="12"/>
      <c r="J1974" s="12"/>
      <c r="K1974" s="12"/>
      <c r="L1974" s="11"/>
      <c r="M1974" s="11"/>
      <c r="N1974" s="11"/>
      <c r="O1974" s="947"/>
      <c r="P1974" s="974"/>
    </row>
    <row r="1975" spans="1:16" s="10" customFormat="1">
      <c r="A1975" s="647"/>
      <c r="B1975" s="16"/>
      <c r="C1975" s="15"/>
      <c r="D1975" s="14"/>
      <c r="E1975" s="17"/>
      <c r="F1975" s="13"/>
      <c r="G1975" s="12"/>
      <c r="H1975" s="12"/>
      <c r="I1975" s="12"/>
      <c r="J1975" s="12"/>
      <c r="K1975" s="12"/>
      <c r="L1975" s="11"/>
      <c r="M1975" s="11"/>
      <c r="N1975" s="11"/>
      <c r="O1975" s="947"/>
      <c r="P1975" s="974"/>
    </row>
    <row r="1976" spans="1:16" s="10" customFormat="1">
      <c r="A1976" s="647"/>
      <c r="B1976" s="16"/>
      <c r="C1976" s="15"/>
      <c r="D1976" s="14"/>
      <c r="E1976" s="17"/>
      <c r="F1976" s="13"/>
      <c r="G1976" s="12"/>
      <c r="H1976" s="12"/>
      <c r="I1976" s="12"/>
      <c r="J1976" s="12"/>
      <c r="K1976" s="12"/>
      <c r="L1976" s="11"/>
      <c r="M1976" s="11"/>
      <c r="N1976" s="11"/>
      <c r="O1976" s="947"/>
      <c r="P1976" s="974"/>
    </row>
    <row r="1977" spans="1:16" s="10" customFormat="1">
      <c r="A1977" s="647"/>
      <c r="B1977" s="16"/>
      <c r="C1977" s="15"/>
      <c r="D1977" s="14"/>
      <c r="E1977" s="17"/>
      <c r="F1977" s="13"/>
      <c r="G1977" s="12"/>
      <c r="H1977" s="12"/>
      <c r="I1977" s="12"/>
      <c r="J1977" s="12"/>
      <c r="K1977" s="12"/>
      <c r="L1977" s="11"/>
      <c r="M1977" s="11"/>
      <c r="N1977" s="11"/>
      <c r="O1977" s="947"/>
      <c r="P1977" s="974"/>
    </row>
    <row r="1978" spans="1:16" s="10" customFormat="1">
      <c r="A1978" s="647"/>
      <c r="B1978" s="16"/>
      <c r="C1978" s="15"/>
      <c r="D1978" s="14"/>
      <c r="E1978" s="17"/>
      <c r="F1978" s="13"/>
      <c r="G1978" s="12"/>
      <c r="H1978" s="12"/>
      <c r="I1978" s="12"/>
      <c r="J1978" s="12"/>
      <c r="K1978" s="12"/>
      <c r="L1978" s="11"/>
      <c r="M1978" s="11"/>
      <c r="N1978" s="11"/>
      <c r="O1978" s="947"/>
      <c r="P1978" s="974"/>
    </row>
    <row r="1979" spans="1:16" s="10" customFormat="1">
      <c r="A1979" s="647"/>
      <c r="B1979" s="16"/>
      <c r="C1979" s="15"/>
      <c r="D1979" s="14"/>
      <c r="E1979" s="17"/>
      <c r="F1979" s="13"/>
      <c r="G1979" s="12"/>
      <c r="H1979" s="12"/>
      <c r="I1979" s="12"/>
      <c r="J1979" s="12"/>
      <c r="K1979" s="12"/>
      <c r="L1979" s="11"/>
      <c r="M1979" s="11"/>
      <c r="N1979" s="11"/>
      <c r="O1979" s="947"/>
      <c r="P1979" s="974"/>
    </row>
    <row r="1980" spans="1:16" s="10" customFormat="1">
      <c r="A1980" s="647"/>
      <c r="B1980" s="16"/>
      <c r="C1980" s="15"/>
      <c r="D1980" s="14"/>
      <c r="E1980" s="17"/>
      <c r="F1980" s="13"/>
      <c r="G1980" s="12"/>
      <c r="H1980" s="12"/>
      <c r="I1980" s="12"/>
      <c r="J1980" s="12"/>
      <c r="K1980" s="12"/>
      <c r="L1980" s="11"/>
      <c r="M1980" s="11"/>
      <c r="N1980" s="11"/>
      <c r="O1980" s="947"/>
      <c r="P1980" s="974"/>
    </row>
    <row r="1981" spans="1:16" s="10" customFormat="1">
      <c r="A1981" s="647"/>
      <c r="B1981" s="16"/>
      <c r="C1981" s="15"/>
      <c r="D1981" s="14"/>
      <c r="E1981" s="17"/>
      <c r="F1981" s="13"/>
      <c r="G1981" s="12"/>
      <c r="H1981" s="12"/>
      <c r="I1981" s="12"/>
      <c r="J1981" s="12"/>
      <c r="K1981" s="12"/>
      <c r="L1981" s="11"/>
      <c r="M1981" s="11"/>
      <c r="N1981" s="11"/>
      <c r="O1981" s="947"/>
      <c r="P1981" s="974"/>
    </row>
    <row r="1982" spans="1:16" s="10" customFormat="1">
      <c r="A1982" s="647"/>
      <c r="B1982" s="16"/>
      <c r="C1982" s="15"/>
      <c r="D1982" s="14"/>
      <c r="E1982" s="17"/>
      <c r="F1982" s="13"/>
      <c r="G1982" s="12"/>
      <c r="H1982" s="12"/>
      <c r="I1982" s="12"/>
      <c r="J1982" s="12"/>
      <c r="K1982" s="12"/>
      <c r="L1982" s="11"/>
      <c r="M1982" s="11"/>
      <c r="N1982" s="11"/>
      <c r="O1982" s="947"/>
      <c r="P1982" s="974"/>
    </row>
    <row r="1983" spans="1:16" s="10" customFormat="1">
      <c r="A1983" s="647"/>
      <c r="B1983" s="16"/>
      <c r="C1983" s="15"/>
      <c r="D1983" s="14"/>
      <c r="E1983" s="17"/>
      <c r="F1983" s="13"/>
      <c r="G1983" s="12"/>
      <c r="H1983" s="12"/>
      <c r="I1983" s="12"/>
      <c r="J1983" s="12"/>
      <c r="K1983" s="12"/>
      <c r="L1983" s="11"/>
      <c r="M1983" s="11"/>
      <c r="N1983" s="11"/>
      <c r="O1983" s="947"/>
      <c r="P1983" s="974"/>
    </row>
    <row r="1984" spans="1:16" s="10" customFormat="1">
      <c r="A1984" s="647"/>
      <c r="B1984" s="16"/>
      <c r="C1984" s="15"/>
      <c r="D1984" s="14"/>
      <c r="E1984" s="17"/>
      <c r="F1984" s="13"/>
      <c r="G1984" s="12"/>
      <c r="H1984" s="12"/>
      <c r="I1984" s="12"/>
      <c r="J1984" s="12"/>
      <c r="K1984" s="12"/>
      <c r="L1984" s="11"/>
      <c r="M1984" s="11"/>
      <c r="N1984" s="11"/>
      <c r="O1984" s="947"/>
      <c r="P1984" s="974"/>
    </row>
    <row r="1985" spans="1:16" s="10" customFormat="1">
      <c r="A1985" s="647"/>
      <c r="B1985" s="16"/>
      <c r="C1985" s="15"/>
      <c r="D1985" s="14"/>
      <c r="E1985" s="5"/>
      <c r="F1985" s="13"/>
      <c r="G1985" s="12"/>
      <c r="H1985" s="12"/>
      <c r="I1985" s="12"/>
      <c r="J1985" s="12"/>
      <c r="K1985" s="12"/>
      <c r="L1985" s="11"/>
      <c r="M1985" s="11"/>
      <c r="N1985" s="11"/>
      <c r="O1985" s="947"/>
      <c r="P1985" s="974"/>
    </row>
    <row r="1986" spans="1:16" s="10" customFormat="1">
      <c r="A1986" s="647"/>
      <c r="B1986" s="16"/>
      <c r="C1986" s="15"/>
      <c r="D1986" s="14"/>
      <c r="E1986" s="5"/>
      <c r="F1986" s="13"/>
      <c r="G1986" s="12"/>
      <c r="H1986" s="12"/>
      <c r="I1986" s="12"/>
      <c r="J1986" s="12"/>
      <c r="K1986" s="12"/>
      <c r="L1986" s="11"/>
      <c r="M1986" s="11"/>
      <c r="N1986" s="11"/>
      <c r="O1986" s="947"/>
      <c r="P1986" s="974"/>
    </row>
    <row r="1987" spans="1:16" s="10" customFormat="1">
      <c r="A1987" s="647"/>
      <c r="B1987" s="16"/>
      <c r="C1987" s="15"/>
      <c r="D1987" s="14"/>
      <c r="E1987" s="5"/>
      <c r="F1987" s="13"/>
      <c r="G1987" s="12"/>
      <c r="H1987" s="12"/>
      <c r="I1987" s="12"/>
      <c r="J1987" s="12"/>
      <c r="K1987" s="12"/>
      <c r="L1987" s="11"/>
      <c r="M1987" s="11"/>
      <c r="N1987" s="11"/>
      <c r="O1987" s="947"/>
      <c r="P1987" s="974"/>
    </row>
    <row r="1988" spans="1:16" s="10" customFormat="1">
      <c r="A1988" s="647"/>
      <c r="B1988" s="16"/>
      <c r="C1988" s="15"/>
      <c r="D1988" s="14"/>
      <c r="E1988" s="5"/>
      <c r="F1988" s="13"/>
      <c r="G1988" s="12"/>
      <c r="H1988" s="12"/>
      <c r="I1988" s="12"/>
      <c r="J1988" s="12"/>
      <c r="K1988" s="12"/>
      <c r="L1988" s="11"/>
      <c r="M1988" s="11"/>
      <c r="N1988" s="11"/>
      <c r="O1988" s="947"/>
      <c r="P1988" s="974"/>
    </row>
    <row r="1989" spans="1:16" s="10" customFormat="1">
      <c r="A1989" s="647"/>
      <c r="B1989" s="16"/>
      <c r="C1989" s="15"/>
      <c r="D1989" s="14"/>
      <c r="E1989" s="5"/>
      <c r="F1989" s="13"/>
      <c r="G1989" s="12"/>
      <c r="H1989" s="12"/>
      <c r="I1989" s="12"/>
      <c r="J1989" s="12"/>
      <c r="K1989" s="12"/>
      <c r="L1989" s="11"/>
      <c r="M1989" s="11"/>
      <c r="N1989" s="11"/>
      <c r="O1989" s="947"/>
      <c r="P1989" s="974"/>
    </row>
    <row r="1990" spans="1:16">
      <c r="F1990" s="9"/>
    </row>
    <row r="1991" spans="1:16">
      <c r="F1991" s="9"/>
    </row>
  </sheetData>
  <mergeCells count="177">
    <mergeCell ref="E126:O126"/>
    <mergeCell ref="E130:O130"/>
    <mergeCell ref="E132:O132"/>
    <mergeCell ref="E134:O134"/>
    <mergeCell ref="E139:O139"/>
    <mergeCell ref="E141:O141"/>
    <mergeCell ref="E340:O340"/>
    <mergeCell ref="E1845:O1845"/>
    <mergeCell ref="E1325:O1325"/>
    <mergeCell ref="E1329:O1329"/>
    <mergeCell ref="E1344:O1344"/>
    <mergeCell ref="E1352:O1352"/>
    <mergeCell ref="E1354:O1354"/>
    <mergeCell ref="E1356:O1356"/>
    <mergeCell ref="E1358:O1358"/>
    <mergeCell ref="E1826:O1826"/>
    <mergeCell ref="E300:O300"/>
    <mergeCell ref="E301:O301"/>
    <mergeCell ref="E318:O318"/>
    <mergeCell ref="E320:O320"/>
    <mergeCell ref="E366:O366"/>
    <mergeCell ref="E476:O476"/>
    <mergeCell ref="E474:O474"/>
    <mergeCell ref="E479:O479"/>
    <mergeCell ref="E110:O110"/>
    <mergeCell ref="E114:O114"/>
    <mergeCell ref="E118:O118"/>
    <mergeCell ref="E122:O122"/>
    <mergeCell ref="E147:O147"/>
    <mergeCell ref="E149:O149"/>
    <mergeCell ref="E13:O13"/>
    <mergeCell ref="E16:O16"/>
    <mergeCell ref="E18:O18"/>
    <mergeCell ref="E20:O20"/>
    <mergeCell ref="E22:O22"/>
    <mergeCell ref="E24:O24"/>
    <mergeCell ref="E27:O27"/>
    <mergeCell ref="E29:O29"/>
    <mergeCell ref="E32:O32"/>
    <mergeCell ref="E31:O31"/>
    <mergeCell ref="E60:O60"/>
    <mergeCell ref="E89:O89"/>
    <mergeCell ref="E91:O91"/>
    <mergeCell ref="E93:O93"/>
    <mergeCell ref="E95:O95"/>
    <mergeCell ref="E97:O97"/>
    <mergeCell ref="E99:O99"/>
    <mergeCell ref="E105:O105"/>
    <mergeCell ref="E34:O34"/>
    <mergeCell ref="E36:O36"/>
    <mergeCell ref="E38:O38"/>
    <mergeCell ref="E40:O40"/>
    <mergeCell ref="E42:O42"/>
    <mergeCell ref="E44:O44"/>
    <mergeCell ref="E46:O46"/>
    <mergeCell ref="E104:O104"/>
    <mergeCell ref="E108:O108"/>
    <mergeCell ref="E106:O106"/>
    <mergeCell ref="E62:O62"/>
    <mergeCell ref="E64:O64"/>
    <mergeCell ref="E72:O72"/>
    <mergeCell ref="E74:O74"/>
    <mergeCell ref="E76:O76"/>
    <mergeCell ref="E80:O80"/>
    <mergeCell ref="E83:O83"/>
    <mergeCell ref="E85:O85"/>
    <mergeCell ref="E87:O87"/>
    <mergeCell ref="E1337:L1337"/>
    <mergeCell ref="E1336:L1336"/>
    <mergeCell ref="E1409:O1409"/>
    <mergeCell ref="E1410:O1410"/>
    <mergeCell ref="E1412:O1412"/>
    <mergeCell ref="E473:O473"/>
    <mergeCell ref="E1321:O1321"/>
    <mergeCell ref="E302:O302"/>
    <mergeCell ref="E368:O368"/>
    <mergeCell ref="E1338:L1338"/>
    <mergeCell ref="E1391:O1391"/>
    <mergeCell ref="E342:O342"/>
    <mergeCell ref="E1680:O1680"/>
    <mergeCell ref="E1681:O1681"/>
    <mergeCell ref="E1678:O1678"/>
    <mergeCell ref="E1679:O1679"/>
    <mergeCell ref="E1339:L1339"/>
    <mergeCell ref="E1340:L1340"/>
    <mergeCell ref="E1341:L1341"/>
    <mergeCell ref="E1818:O1818"/>
    <mergeCell ref="E1802:O1802"/>
    <mergeCell ref="E1685:O1685"/>
    <mergeCell ref="E1683:O1683"/>
    <mergeCell ref="E1831:O1831"/>
    <mergeCell ref="E1833:O1833"/>
    <mergeCell ref="E1835:O1835"/>
    <mergeCell ref="E1812:O1812"/>
    <mergeCell ref="E1731:O1731"/>
    <mergeCell ref="E1734:O1734"/>
    <mergeCell ref="E1736:O1736"/>
    <mergeCell ref="E1738:O1738"/>
    <mergeCell ref="E1740:O1740"/>
    <mergeCell ref="E1742:O1742"/>
    <mergeCell ref="E1744:O1744"/>
    <mergeCell ref="E1746:O1746"/>
    <mergeCell ref="E1748:O1748"/>
    <mergeCell ref="E1750:O1750"/>
    <mergeCell ref="E1752:O1752"/>
    <mergeCell ref="E1754:O1754"/>
    <mergeCell ref="E1756:O1756"/>
    <mergeCell ref="E1758:O1758"/>
    <mergeCell ref="F1862:G1862"/>
    <mergeCell ref="E1860:H1860"/>
    <mergeCell ref="E1702:L1702"/>
    <mergeCell ref="E1804:L1804"/>
    <mergeCell ref="E1859:H1859"/>
    <mergeCell ref="E1857:H1857"/>
    <mergeCell ref="E1858:H1858"/>
    <mergeCell ref="E1820:L1820"/>
    <mergeCell ref="E1822:L1822"/>
    <mergeCell ref="E1824:L1824"/>
    <mergeCell ref="E1837:O1837"/>
    <mergeCell ref="E1709:O1709"/>
    <mergeCell ref="E1715:O1715"/>
    <mergeCell ref="E1717:O1717"/>
    <mergeCell ref="E1720:O1720"/>
    <mergeCell ref="E1722:O1722"/>
    <mergeCell ref="E1724:O1724"/>
    <mergeCell ref="E1726:O1726"/>
    <mergeCell ref="E1728:O1728"/>
    <mergeCell ref="E1768:O1768"/>
    <mergeCell ref="E1766:O1766"/>
    <mergeCell ref="E1805:O1805"/>
    <mergeCell ref="E1334:L1334"/>
    <mergeCell ref="E1333:L1333"/>
    <mergeCell ref="E1335:L1335"/>
    <mergeCell ref="E1583:O1583"/>
    <mergeCell ref="A1:A2"/>
    <mergeCell ref="E1:E2"/>
    <mergeCell ref="E6:O6"/>
    <mergeCell ref="E9:O9"/>
    <mergeCell ref="E54:O54"/>
    <mergeCell ref="E56:O56"/>
    <mergeCell ref="E58:O58"/>
    <mergeCell ref="E66:O66"/>
    <mergeCell ref="O1:O2"/>
    <mergeCell ref="F1:L2"/>
    <mergeCell ref="M1:M2"/>
    <mergeCell ref="N1:N2"/>
    <mergeCell ref="E78:O78"/>
    <mergeCell ref="E68:O68"/>
    <mergeCell ref="E70:O70"/>
    <mergeCell ref="E137:O137"/>
    <mergeCell ref="E143:O143"/>
    <mergeCell ref="E169:O169"/>
    <mergeCell ref="E171:O171"/>
    <mergeCell ref="E48:O48"/>
    <mergeCell ref="E1760:O1760"/>
    <mergeCell ref="E1762:O1762"/>
    <mergeCell ref="E1764:O1764"/>
    <mergeCell ref="E1688:O1688"/>
    <mergeCell ref="E1690:O1690"/>
    <mergeCell ref="E1694:O1694"/>
    <mergeCell ref="E1693:O1693"/>
    <mergeCell ref="E1697:O1697"/>
    <mergeCell ref="E1700:O1700"/>
    <mergeCell ref="E1703:O1703"/>
    <mergeCell ref="E1706:O1706"/>
    <mergeCell ref="E1696:L1696"/>
    <mergeCell ref="E1699:L1699"/>
    <mergeCell ref="E157:O157"/>
    <mergeCell ref="E158:O158"/>
    <mergeCell ref="E176:O176"/>
    <mergeCell ref="E151:O151"/>
    <mergeCell ref="E153:O153"/>
    <mergeCell ref="E156:O156"/>
    <mergeCell ref="E163:O163"/>
    <mergeCell ref="E165:O165"/>
    <mergeCell ref="E167:O167"/>
    <mergeCell ref="E161:O161"/>
  </mergeCells>
  <printOptions horizontalCentered="1"/>
  <pageMargins left="0.51181102362204722" right="0.51181102362204722" top="0.9055118110236221" bottom="0.86614173228346458" header="0.39370078740157483" footer="0.31496062992125984"/>
  <pageSetup paperSize="9" scale="10" firstPageNumber="0" fitToHeight="113" orientation="landscape" r:id="rId1"/>
  <headerFooter alignWithMargins="0">
    <oddHeader xml:space="preserve">&amp;C&amp;"+,Kursywa"&amp;26Informacja  opisowa z wykonania budżetu gminy Łęczna za I półrocze 2020 roku
MATERIAŁ OPISOWY WYDATKI </oddHeader>
    <oddFooter>&amp;C&amp;"Arial CE,Kursywa"&amp;22&amp;P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Objaśnienia 2020 rok</vt:lpstr>
      <vt:lpstr>'Objaśnienia 2020 rok'!Tytuły_wydruku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Brońska</dc:creator>
  <cp:lastModifiedBy>Renata Brońska</cp:lastModifiedBy>
  <cp:lastPrinted>2020-09-30T12:18:02Z</cp:lastPrinted>
  <dcterms:created xsi:type="dcterms:W3CDTF">2012-09-18T07:18:11Z</dcterms:created>
  <dcterms:modified xsi:type="dcterms:W3CDTF">2020-09-30T12:52:36Z</dcterms:modified>
</cp:coreProperties>
</file>